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9312" windowHeight="5208"/>
  </bookViews>
  <sheets>
    <sheet name="BoQ for Water Tank and Pipeline" sheetId="1" r:id="rId1"/>
    <sheet name="BoQ for Shallow well and Solar " sheetId="2" r:id="rId2"/>
    <sheet name="BoQ for 1 Water Point" sheetId="3" r:id="rId3"/>
    <sheet name="Main summary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F35" i="1" s="1"/>
  <c r="D46" i="2" l="1"/>
  <c r="F44" i="2"/>
  <c r="F45" i="2"/>
  <c r="F46" i="2"/>
  <c r="F49" i="2"/>
  <c r="F50" i="2"/>
  <c r="D41" i="2"/>
  <c r="F41" i="2"/>
  <c r="F42" i="2" s="1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A21" i="2"/>
  <c r="A22" i="2"/>
  <c r="A23" i="2"/>
  <c r="A24" i="2"/>
  <c r="A25" i="2"/>
  <c r="A26" i="2"/>
  <c r="A27" i="2"/>
  <c r="A28" i="2"/>
  <c r="F12" i="3"/>
  <c r="D14" i="3"/>
  <c r="F14" i="3"/>
  <c r="D10" i="3"/>
  <c r="F10" i="3" s="1"/>
  <c r="D8" i="3"/>
  <c r="F8" i="3" s="1"/>
  <c r="D7" i="3"/>
  <c r="F7" i="3"/>
  <c r="D6" i="3"/>
  <c r="F6" i="3"/>
  <c r="D4" i="3"/>
  <c r="F4" i="3" s="1"/>
  <c r="A29" i="2"/>
  <c r="A30" i="2"/>
  <c r="F7" i="2"/>
  <c r="F13" i="2" s="1"/>
  <c r="F8" i="2"/>
  <c r="F9" i="2"/>
  <c r="F10" i="2"/>
  <c r="F11" i="2"/>
  <c r="F12" i="2"/>
  <c r="D4" i="2"/>
  <c r="F4" i="2"/>
  <c r="F5" i="2"/>
  <c r="D46" i="1"/>
  <c r="F46" i="1" s="1"/>
  <c r="D45" i="1"/>
  <c r="F45" i="1" s="1"/>
  <c r="D41" i="1"/>
  <c r="F41" i="1" s="1"/>
  <c r="D42" i="1"/>
  <c r="F42" i="1" s="1"/>
  <c r="D31" i="1"/>
  <c r="F31" i="1" s="1"/>
  <c r="D32" i="1"/>
  <c r="F32" i="1" s="1"/>
  <c r="D27" i="1"/>
  <c r="F27" i="1" s="1"/>
  <c r="D20" i="1"/>
  <c r="D25" i="1"/>
  <c r="D24" i="1"/>
  <c r="D6" i="1"/>
  <c r="D48" i="1"/>
  <c r="F48" i="1" s="1"/>
  <c r="D28" i="1"/>
  <c r="F28" i="1" s="1"/>
  <c r="D26" i="1"/>
  <c r="F26" i="1" s="1"/>
  <c r="D19" i="1"/>
  <c r="F19" i="1" s="1"/>
  <c r="D10" i="1"/>
  <c r="D9" i="1"/>
  <c r="F51" i="1"/>
  <c r="F36" i="1"/>
  <c r="F37" i="1"/>
  <c r="F38" i="1"/>
  <c r="F12" i="1"/>
  <c r="D47" i="1"/>
  <c r="F47" i="1" s="1"/>
  <c r="F25" i="1"/>
  <c r="F24" i="1"/>
  <c r="F20" i="1"/>
  <c r="D13" i="1"/>
  <c r="F13" i="1"/>
  <c r="D11" i="1"/>
  <c r="F11" i="1"/>
  <c r="A11" i="1"/>
  <c r="A12" i="1" s="1"/>
  <c r="A13" i="1" s="1"/>
  <c r="F10" i="1"/>
  <c r="F9" i="1"/>
  <c r="F6" i="1"/>
  <c r="F39" i="1" l="1"/>
  <c r="F47" i="2"/>
  <c r="F51" i="2"/>
  <c r="F38" i="2"/>
  <c r="F15" i="3"/>
  <c r="C5" i="4" s="1"/>
  <c r="F21" i="1"/>
  <c r="F14" i="1"/>
  <c r="F43" i="1"/>
  <c r="F49" i="1"/>
  <c r="F33" i="1"/>
  <c r="F29" i="1"/>
  <c r="F17" i="2"/>
  <c r="F52" i="2" s="1"/>
  <c r="C4" i="4" s="1"/>
  <c r="F52" i="1" l="1"/>
  <c r="C6" i="4" s="1"/>
</calcChain>
</file>

<file path=xl/sharedStrings.xml><?xml version="1.0" encoding="utf-8"?>
<sst xmlns="http://schemas.openxmlformats.org/spreadsheetml/2006/main" count="221" uniqueCount="156">
  <si>
    <t>No</t>
  </si>
  <si>
    <t>II</t>
  </si>
  <si>
    <t>Cart-away surplus excavated materials to where directed by Engineer</t>
  </si>
  <si>
    <t>Return fill in and ram excavated material around foundations as directed by Engineer on site</t>
  </si>
  <si>
    <t>LS</t>
  </si>
  <si>
    <t>Supply all materials and cast 50mm concrete for blinding concrete ratio 1:4:8</t>
  </si>
  <si>
    <t>m</t>
  </si>
  <si>
    <t>Site Clearance</t>
  </si>
  <si>
    <t>Clear  site  of  works  of  grass,shrubs,bush  and small trees, grub up roots, fill with selected soil and burn debris</t>
  </si>
  <si>
    <t>M²</t>
  </si>
  <si>
    <t>Earth work</t>
  </si>
  <si>
    <t>Soft formation:Excavate pit for column footings, 4square corner footing with 1.7m width and 1.7m length  to a depth of 1.2meter</t>
  </si>
  <si>
    <t>Hard foundation: Excavation of  foundation trenches not exceeding 0.5 meter in soft formation</t>
  </si>
  <si>
    <t>Sub Total</t>
  </si>
  <si>
    <t>Concrete works</t>
  </si>
  <si>
    <t>Vibrated reinforced concrete 1:1:2 to:-</t>
  </si>
  <si>
    <t xml:space="preserve">Construction of 4 RCC columns  of 0.3x0.3m thick and 1.2m high, Each column with 8 D-16 re-bars and D8 links @200mm c/c including formwork, use 12mm thick plywood as a formwork, with mix 1:2:3 ratio, </t>
  </si>
  <si>
    <t>Vibrated reinforced concrete 1:1:2 (C25) in:-</t>
  </si>
  <si>
    <t xml:space="preserve">Prepare and apply three coats exterior long lasting water proofing or any other equal and approved paint to Rendered surfaces  </t>
  </si>
  <si>
    <t>M2</t>
  </si>
  <si>
    <t xml:space="preserve">Prepare and apply three coats exterior long lasting first grade plastic emulsion paint as"crown" or any other equal and approved paint to Rendered surfaces  </t>
  </si>
  <si>
    <t>Subtotal</t>
  </si>
  <si>
    <t xml:space="preserve">Bottom outlet &amp; Over Flow Pipes:  Supply and install 3 inch  stainless steel sockect , elbows ,butterfly valve, 2'' stainless steel pipe and fittings  and everything necessary to extend the  pipe out of the chamber until idoneous outlet.  Total minimum lengths of pipes: 12m </t>
  </si>
  <si>
    <t>25mm thick lime plaster (1:2) as described to: Interior surfaces of tank walls</t>
  </si>
  <si>
    <t>15mm thick lime plaster (1:2) as described to: Exterior surfaces of tank walls</t>
  </si>
  <si>
    <t>Inspection chamber</t>
  </si>
  <si>
    <t>Blinding concrete 1:3:6 for the base 1.4m x 1.4m with a thickness of 50mm</t>
  </si>
  <si>
    <t>Mass concrete 1:2:4 on for the base 1.4m x 1.4m with a thickness of 200mm</t>
  </si>
  <si>
    <t>Natural solid blocks into mortar 1:4</t>
  </si>
  <si>
    <t xml:space="preserve">Reinforce concrete 1:1.5:3 on top of the natural wall stones 100mm thick </t>
  </si>
  <si>
    <t xml:space="preserve">Project Visibility </t>
  </si>
  <si>
    <t>Ls</t>
  </si>
  <si>
    <t>I</t>
  </si>
  <si>
    <t>WATER PROOFING, PAINTING AND DECORATIONS</t>
  </si>
  <si>
    <t>SUPERSTRUCTURE WORKS</t>
  </si>
  <si>
    <t>SUBSTRUCTURE WORKS</t>
  </si>
  <si>
    <t>EXCAVATION AND EARTHWORKS</t>
  </si>
  <si>
    <t>SITE CLEARANCE</t>
  </si>
  <si>
    <t>A</t>
  </si>
  <si>
    <t>B</t>
  </si>
  <si>
    <t>C</t>
  </si>
  <si>
    <t>D</t>
  </si>
  <si>
    <t>E</t>
  </si>
  <si>
    <t>F</t>
  </si>
  <si>
    <t>Visibility Metal bill board (3m height, 1.2m by 1.5m) with concrete footings.</t>
  </si>
  <si>
    <t xml:space="preserve">Sub total </t>
  </si>
  <si>
    <t>BoQ of Solar System</t>
  </si>
  <si>
    <t>Solar System (Submersible pump System including Controller with Data Module, motor and pump end. Specifications and arrangement attached)</t>
  </si>
  <si>
    <t>Include a provisional sum for transport, duty, beneficiary training on management and maintenance</t>
  </si>
  <si>
    <t>Prov</t>
  </si>
  <si>
    <t xml:space="preserve">Solar Panels 270W Polycrystalline
</t>
  </si>
  <si>
    <t xml:space="preserve">Pc </t>
  </si>
  <si>
    <t>Lorentz PU-150 CSJ5-8 pump c/w moto</t>
  </si>
  <si>
    <t xml:space="preserve">set </t>
  </si>
  <si>
    <t xml:space="preserve">Lorentz PS2-150 controller-0.3 KVA
</t>
  </si>
  <si>
    <t xml:space="preserve">Lorentz PV Disconnect 440-40-1
</t>
  </si>
  <si>
    <t xml:space="preserve">Well probe sensor for dry run protection
</t>
  </si>
  <si>
    <t xml:space="preserve">Surge protector
</t>
  </si>
  <si>
    <t xml:space="preserve">Cable splice kit 6-10sqmm
</t>
  </si>
  <si>
    <t xml:space="preserve">PV Mounting Structure 3.5m High
</t>
  </si>
  <si>
    <t xml:space="preserve">Earth rod and clamp
</t>
  </si>
  <si>
    <t>50mm uPVC pipe Class C</t>
  </si>
  <si>
    <t xml:space="preserve">Installation  charges and sundries
</t>
  </si>
  <si>
    <r>
      <t>M</t>
    </r>
    <r>
      <rPr>
        <vertAlign val="superscript"/>
        <sz val="12"/>
        <rFont val="Times New Roman"/>
        <family val="1"/>
      </rPr>
      <t>3</t>
    </r>
  </si>
  <si>
    <r>
      <rPr>
        <b/>
        <sz val="12"/>
        <rFont val="Times New Roman"/>
        <family val="1"/>
      </rPr>
      <t xml:space="preserve">Roof tank with mesh D-12              </t>
    </r>
    <r>
      <rPr>
        <sz val="12"/>
        <rFont val="Times New Roman"/>
        <family val="1"/>
      </rPr>
      <t xml:space="preserve">                                                                    -Construct concrete Tank top slab 15cm thick including formwork, use 12mm thick plywood as a formwork, with mix 1:2:3 ratio, use Y10mm steel @200mmc/c, provide double mesh. The top slab should slope towards edges to provide drinage for water as shown in the deisgn and reinforcement schedule </t>
    </r>
  </si>
  <si>
    <r>
      <t>16mm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 submersible drop cable</t>
    </r>
  </si>
  <si>
    <r>
      <t>2.5mm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 2-core Armoured cable (Level sensor)</t>
    </r>
  </si>
  <si>
    <r>
      <t>6mm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DC Auto(PV)  cable
</t>
    </r>
  </si>
  <si>
    <r>
      <t>6mm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Earth Cable</t>
    </r>
  </si>
  <si>
    <r>
      <t>4 mm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4-core  armored underground cable
</t>
    </r>
  </si>
  <si>
    <t>Construct concrete footings size of (1.7mx1.7mx0.05m) no.s 4 including formwork, with mix 1:2:4 ratio, use Y14mm steel double mesh 15cm c/c both ways</t>
  </si>
  <si>
    <t>Bracing Beams RCC 0.2 x 0.4m x 4.4m with 6 No. D16 bars secured with D8 @ 150mm c/c including formwork, use 12mm thick plywood as a formwork, with, 1:2:4 mix ratio Crasher stones (1-3" maximum aggregate size). Concrete mix should be thoroughly vibrated to remove any air spaces. Curing 4 days minimum. Twice a day morning  and evening. Note : Montain collected aggregates is ban and prohobit during casting RCC activities.</t>
  </si>
  <si>
    <t>Plumbing installations</t>
  </si>
  <si>
    <t>Construction of 4 RCC columns  of 0.3x0.3m thick and 8.75m high  each column with 8 D-16 re-bars and D8 links @200mm c/c, including formwork, use 12mm thick plywood as a formwork, with, 1:2:4 mix ratio Crasher stones (1-3" maximum aggregate size). Concrete mix should be thoroughly vibrated to remove any air spaces. Curing 4 days minimum. Twice a day morning  and evening. Note : Montain collected aggregates is ban and prohobit during casting RCC activities.</t>
  </si>
  <si>
    <r>
      <rPr>
        <b/>
        <sz val="12"/>
        <rFont val="Times New Roman"/>
        <family val="1"/>
      </rPr>
      <t xml:space="preserve">Tank wall with double mesh D-12
</t>
    </r>
    <r>
      <rPr>
        <sz val="12"/>
        <rFont val="Times New Roman"/>
        <family val="1"/>
      </rPr>
      <t xml:space="preserve">Construct Reinforced concrete Tank walls 20cm thick including formwork, use 12mm thick plywood as a formwork, with mix 1:2:3 ratio, use Y12mm steel @150mmc/c both horizontal and vertical, provide double mesh, (provide vertical conor bars 12Y 14mm with Y8mm @ 20cm c/c tie at all four conors) as shown in reinforcement schedule </t>
    </r>
  </si>
  <si>
    <t>Top beam  (0.6m x0.30m ) composite with the tank floor, with 6N0. D-16 re-bars &amp; D-8 links @ 200 mm c/c. including formwork, use 12mm thick plywood as a formwork, with, 1:2:4 mix ratio Crasher stones (1-3" maximum aggregate size). Concrete mix should be thoroughly vibrated to remove any air spaces. Curing 4 days minimum. Twice a day morning  and evening. Note: Montain collected aggregates is ban and prohobit during casting RCC activities.</t>
  </si>
  <si>
    <t>LM</t>
  </si>
  <si>
    <t>L.S.M</t>
  </si>
  <si>
    <t>Finishes</t>
  </si>
  <si>
    <t>Supply removable external steel ladder( 8.75m long and 0.4m wide), The steps should be at 0.4m interval</t>
  </si>
  <si>
    <t>Pcs</t>
  </si>
  <si>
    <t>Construction Of 25 Cum Elevated Water Tank</t>
  </si>
  <si>
    <t>Mobilization</t>
  </si>
  <si>
    <t>Mobilization to site</t>
  </si>
  <si>
    <t>Item</t>
  </si>
  <si>
    <t>Sub Total 1</t>
  </si>
  <si>
    <t>Excavation , well head, apron and well cover</t>
  </si>
  <si>
    <t>Excavation of well to water depth and levelling of soil, provisional depth</t>
  </si>
  <si>
    <t>Pour siliciaous gravel rocks at the bottom of the well for filtration and protection sedimentation</t>
  </si>
  <si>
    <t>CM</t>
  </si>
  <si>
    <t>Construct head of the well , 1 meter above the ground in concrete mix (1:2:4)</t>
  </si>
  <si>
    <t>Construct the apron of the well with stone masonry . Min radius 1.5m</t>
  </si>
  <si>
    <t>Construct the well cover and capping</t>
  </si>
  <si>
    <t>SM</t>
  </si>
  <si>
    <t>Sub Total 2</t>
  </si>
  <si>
    <t>Well Lining</t>
  </si>
  <si>
    <t>Provisional sum for construction and installation of well lining in reinforced concrete culverts. @ culvert is 100mm thick, 600mm depth, 1 meter diameter</t>
  </si>
  <si>
    <t>Sub Total 3</t>
  </si>
  <si>
    <t>Description</t>
  </si>
  <si>
    <t>Unit</t>
  </si>
  <si>
    <t>Quantity</t>
  </si>
  <si>
    <t>Price in USD</t>
  </si>
  <si>
    <t>Amount</t>
  </si>
  <si>
    <t>G</t>
  </si>
  <si>
    <t xml:space="preserve">Total for construction of 25 cum Elevated Water Tank </t>
  </si>
  <si>
    <t>Total of Solar System</t>
  </si>
  <si>
    <t>M</t>
  </si>
  <si>
    <t>Conduct pump testing and provide results to Engineer</t>
  </si>
  <si>
    <t>Price</t>
  </si>
  <si>
    <t>A.</t>
  </si>
  <si>
    <t>Site clearance</t>
  </si>
  <si>
    <t>Sqm</t>
  </si>
  <si>
    <t>B.</t>
  </si>
  <si>
    <t>Sub-structure</t>
  </si>
  <si>
    <t>Cu.m</t>
  </si>
  <si>
    <t>Construction of foundation using natural stone 0.5m height from under the ground</t>
  </si>
  <si>
    <t>Excavation of the foundation base with dimensions of 2m length, 2m width and 0.3m deep</t>
  </si>
  <si>
    <t xml:space="preserve">Super structucture </t>
  </si>
  <si>
    <t>C.</t>
  </si>
  <si>
    <t>Construction of sub-base on the foundation for using to put the chericans on it with the dimensions of 2m length, 1m width and 0.3m height using well constructed natural stones.</t>
  </si>
  <si>
    <t>Construction of Reinforced concrete standing wall for the water taps with dimensions of 2m length, 0.2 width and 1m height using dia 10 main bars and dia 6 strip bars</t>
  </si>
  <si>
    <t>Finishing</t>
  </si>
  <si>
    <t>D.</t>
  </si>
  <si>
    <t>Plastering and applying all above the ground ceramic tiles</t>
  </si>
  <si>
    <t>Connecting of the Pipping system</t>
  </si>
  <si>
    <t>Connection of the pipping system including fittings and taps</t>
  </si>
  <si>
    <t>E.</t>
  </si>
  <si>
    <t>Lum</t>
  </si>
  <si>
    <t>Grand Total for Construction of one Water point</t>
  </si>
  <si>
    <t>H</t>
  </si>
  <si>
    <t xml:space="preserve">BOQ for construction of a Borehole with Solar system </t>
  </si>
  <si>
    <t xml:space="preserve">Main Summary </t>
  </si>
  <si>
    <t>No.</t>
  </si>
  <si>
    <t>BOQs for Construction of Proposed 25 cum Elevated Water tank</t>
  </si>
  <si>
    <t>Grand Total</t>
  </si>
  <si>
    <t>BOQ for Fencing</t>
  </si>
  <si>
    <t xml:space="preserve">Mobilization </t>
  </si>
  <si>
    <t xml:space="preserve">Sub-total 1
</t>
  </si>
  <si>
    <t>Fencing Structure</t>
  </si>
  <si>
    <t>Supply and install steel netting (2.5m height)</t>
  </si>
  <si>
    <t xml:space="preserve">	Concrete footing for steel pipes (0.5m deep, 0.3m wide)</t>
  </si>
  <si>
    <t>Apply protective coating on steel pipes</t>
  </si>
  <si>
    <t xml:space="preserve">Sub-total 2
</t>
  </si>
  <si>
    <t>Sub-total 3</t>
  </si>
  <si>
    <t>Total for Fencing</t>
  </si>
  <si>
    <t>Supply and install 2" steel pipes (spaced 2m apart) and 2.5m height</t>
  </si>
  <si>
    <t>Grand total for the constrution of the Borehole, the Solar system &amp; Fencing</t>
  </si>
  <si>
    <t>BOQ for construction of a Borehole with Solar system &amp; Fencing</t>
  </si>
  <si>
    <t>Construction of Two Water Points</t>
  </si>
  <si>
    <t>Cu M</t>
  </si>
  <si>
    <t>Grand Total for Construction of a Shallow</t>
  </si>
  <si>
    <t xml:space="preserve">Supply &amp; Install  2 inch UPVC Pipe High pressure  including the fittings and accesseries
</t>
  </si>
  <si>
    <t>Excavation work for the pipeline 700mm deep, 400mm wide and 510m long</t>
  </si>
  <si>
    <t>M3</t>
  </si>
  <si>
    <t>BOQs for Construction of Proposed 25 cum Elevated Water tank and 510m pipeline</t>
  </si>
  <si>
    <t>Construction of  Water Points at Yoontooy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</si>
</sst>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&quot;$&quot;#,##0.00"/>
  </numFmts>
  <fonts count="2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6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b/>
      <u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24"/>
      <name val="Times New Roman"/>
      <family val="1"/>
    </font>
    <font>
      <u val="singleAccounting"/>
      <sz val="10"/>
      <name val="Arial"/>
      <family val="2"/>
    </font>
    <font>
      <sz val="16"/>
      <name val="Times New Roman"/>
      <family val="1"/>
    </font>
    <font>
      <b/>
      <sz val="12"/>
      <color indexed="8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14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>
      <alignment horizontal="justify"/>
    </xf>
    <xf numFmtId="0" fontId="3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0" fontId="2" fillId="0" borderId="0">
      <alignment horizontal="justify" vertical="top" wrapText="1"/>
    </xf>
    <xf numFmtId="0" fontId="2" fillId="0" borderId="0">
      <alignment horizontal="justify" vertical="top" wrapText="1"/>
    </xf>
    <xf numFmtId="43" fontId="2" fillId="0" borderId="0" applyFont="0" applyFill="0" applyBorder="0" applyProtection="0">
      <alignment vertical="top"/>
    </xf>
    <xf numFmtId="43" fontId="2" fillId="0" borderId="0" applyFont="0" applyFill="0" applyBorder="0" applyProtection="0">
      <alignment vertical="top"/>
    </xf>
    <xf numFmtId="43" fontId="2" fillId="0" borderId="0" applyFont="0" applyFill="0" applyBorder="0" applyProtection="0">
      <alignment vertical="top"/>
    </xf>
    <xf numFmtId="0" fontId="14" fillId="0" borderId="0">
      <alignment horizontal="justify" vertical="top" wrapText="1"/>
    </xf>
    <xf numFmtId="0" fontId="2" fillId="0" borderId="0">
      <alignment horizontal="justify"/>
    </xf>
  </cellStyleXfs>
  <cellXfs count="204">
    <xf numFmtId="0" fontId="0" fillId="0" borderId="0" xfId="0"/>
    <xf numFmtId="0" fontId="5" fillId="0" borderId="0" xfId="1" applyFont="1" applyAlignment="1">
      <alignment vertical="center"/>
    </xf>
    <xf numFmtId="0" fontId="6" fillId="2" borderId="1" xfId="1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5" applyFont="1"/>
    <xf numFmtId="0" fontId="8" fillId="3" borderId="1" xfId="12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/>
    </xf>
    <xf numFmtId="166" fontId="8" fillId="0" borderId="1" xfId="5" applyNumberFormat="1" applyFont="1" applyBorder="1" applyAlignment="1">
      <alignment horizontal="center" vertical="center"/>
    </xf>
    <xf numFmtId="0" fontId="8" fillId="3" borderId="1" xfId="12" applyNumberFormat="1" applyFont="1" applyFill="1" applyBorder="1" applyAlignment="1">
      <alignment horizontal="center" vertical="center" wrapText="1"/>
    </xf>
    <xf numFmtId="166" fontId="8" fillId="0" borderId="1" xfId="4" applyNumberFormat="1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/>
    </xf>
    <xf numFmtId="0" fontId="8" fillId="0" borderId="1" xfId="11" applyFont="1" applyBorder="1" applyAlignment="1">
      <alignment horizontal="center" vertical="center"/>
    </xf>
    <xf numFmtId="2" fontId="8" fillId="0" borderId="1" xfId="7" applyNumberFormat="1" applyFont="1" applyBorder="1" applyAlignment="1">
      <alignment horizontal="center" vertical="center"/>
    </xf>
    <xf numFmtId="0" fontId="8" fillId="0" borderId="1" xfId="7" applyNumberFormat="1" applyFont="1" applyBorder="1" applyAlignment="1">
      <alignment horizontal="center" vertical="center"/>
    </xf>
    <xf numFmtId="165" fontId="8" fillId="3" borderId="1" xfId="12" applyNumberFormat="1" applyFont="1" applyFill="1" applyBorder="1" applyAlignment="1">
      <alignment horizontal="center" vertical="center" wrapText="1"/>
    </xf>
    <xf numFmtId="0" fontId="8" fillId="2" borderId="1" xfId="11" applyFont="1" applyFill="1" applyBorder="1" applyAlignment="1">
      <alignment horizontal="center" vertical="center"/>
    </xf>
    <xf numFmtId="166" fontId="6" fillId="2" borderId="1" xfId="4" applyNumberFormat="1" applyFont="1" applyFill="1" applyBorder="1" applyAlignment="1">
      <alignment horizontal="center" vertical="center" wrapText="1"/>
    </xf>
    <xf numFmtId="0" fontId="6" fillId="0" borderId="1" xfId="11" applyNumberFormat="1" applyFont="1" applyBorder="1" applyAlignment="1">
      <alignment horizontal="center" vertical="center"/>
    </xf>
    <xf numFmtId="0" fontId="8" fillId="0" borderId="1" xfId="11" applyNumberFormat="1" applyFont="1" applyBorder="1" applyAlignment="1">
      <alignment horizontal="center" vertical="center"/>
    </xf>
    <xf numFmtId="166" fontId="8" fillId="0" borderId="1" xfId="2" applyNumberFormat="1" applyFont="1" applyBorder="1" applyAlignment="1">
      <alignment horizontal="center" vertical="center"/>
    </xf>
    <xf numFmtId="166" fontId="8" fillId="3" borderId="1" xfId="4" applyNumberFormat="1" applyFont="1" applyFill="1" applyBorder="1" applyAlignment="1">
      <alignment horizontal="center" vertical="center" wrapText="1"/>
    </xf>
    <xf numFmtId="0" fontId="8" fillId="0" borderId="1" xfId="12" applyFont="1" applyBorder="1" applyAlignment="1">
      <alignment horizontal="center" vertical="center" wrapText="1"/>
    </xf>
    <xf numFmtId="0" fontId="8" fillId="0" borderId="1" xfId="14" applyNumberFormat="1" applyFont="1" applyBorder="1" applyAlignment="1">
      <alignment horizontal="center" vertical="center"/>
    </xf>
    <xf numFmtId="0" fontId="8" fillId="0" borderId="1" xfId="12" applyFont="1" applyBorder="1" applyAlignment="1">
      <alignment horizontal="left" vertical="top" wrapText="1"/>
    </xf>
    <xf numFmtId="165" fontId="8" fillId="3" borderId="1" xfId="14" applyNumberFormat="1" applyFont="1" applyFill="1" applyBorder="1" applyAlignment="1">
      <alignment horizontal="center" vertical="center"/>
    </xf>
    <xf numFmtId="2" fontId="8" fillId="3" borderId="1" xfId="12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2" fontId="8" fillId="0" borderId="1" xfId="5" applyNumberFormat="1" applyFont="1" applyBorder="1" applyAlignment="1">
      <alignment horizontal="center" vertical="center"/>
    </xf>
    <xf numFmtId="0" fontId="8" fillId="0" borderId="1" xfId="14" applyFont="1" applyBorder="1" applyAlignment="1">
      <alignment horizontal="center" vertical="center" wrapText="1"/>
    </xf>
    <xf numFmtId="166" fontId="8" fillId="0" borderId="1" xfId="7" applyNumberFormat="1" applyFont="1" applyBorder="1" applyAlignment="1">
      <alignment horizontal="center" vertical="center"/>
    </xf>
    <xf numFmtId="0" fontId="8" fillId="0" borderId="1" xfId="7" applyNumberFormat="1" applyFont="1" applyFill="1" applyBorder="1" applyAlignment="1">
      <alignment horizontal="center" vertical="center"/>
    </xf>
    <xf numFmtId="0" fontId="8" fillId="0" borderId="1" xfId="5" applyNumberFormat="1" applyFont="1" applyBorder="1" applyAlignment="1">
      <alignment horizontal="center" vertical="center"/>
    </xf>
    <xf numFmtId="0" fontId="8" fillId="0" borderId="1" xfId="5" applyFont="1" applyBorder="1" applyAlignment="1">
      <alignment horizontal="left" vertical="top" wrapText="1"/>
    </xf>
    <xf numFmtId="0" fontId="8" fillId="0" borderId="1" xfId="5" applyFont="1" applyBorder="1" applyAlignment="1">
      <alignment horizontal="center" vertical="center" wrapText="1"/>
    </xf>
    <xf numFmtId="0" fontId="8" fillId="0" borderId="1" xfId="13" applyNumberFormat="1" applyFont="1" applyFill="1" applyBorder="1" applyAlignment="1">
      <alignment horizontal="center" vertical="center" wrapText="1"/>
    </xf>
    <xf numFmtId="166" fontId="8" fillId="0" borderId="1" xfId="13" applyNumberFormat="1" applyFont="1" applyFill="1" applyBorder="1" applyAlignment="1">
      <alignment horizontal="center" vertical="center" wrapText="1"/>
    </xf>
    <xf numFmtId="166" fontId="8" fillId="0" borderId="1" xfId="4" applyNumberFormat="1" applyFont="1" applyBorder="1" applyAlignment="1">
      <alignment horizontal="center" vertical="center" wrapText="1"/>
    </xf>
    <xf numFmtId="166" fontId="6" fillId="0" borderId="1" xfId="5" applyNumberFormat="1" applyFont="1" applyBorder="1" applyAlignment="1">
      <alignment horizontal="center" vertical="center" wrapText="1"/>
    </xf>
    <xf numFmtId="166" fontId="8" fillId="0" borderId="1" xfId="14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0" xfId="5" applyFont="1" applyAlignment="1">
      <alignment horizontal="center" vertical="center"/>
    </xf>
    <xf numFmtId="166" fontId="7" fillId="0" borderId="0" xfId="5" applyNumberFormat="1" applyFont="1" applyAlignment="1">
      <alignment horizontal="center" vertical="center"/>
    </xf>
    <xf numFmtId="0" fontId="6" fillId="3" borderId="1" xfId="5" applyFont="1" applyFill="1" applyBorder="1" applyAlignment="1">
      <alignment horizontal="left" vertical="top" wrapText="1"/>
    </xf>
    <xf numFmtId="0" fontId="8" fillId="0" borderId="1" xfId="11" applyFont="1" applyBorder="1" applyAlignment="1">
      <alignment horizontal="left" vertical="top" wrapText="1"/>
    </xf>
    <xf numFmtId="0" fontId="6" fillId="0" borderId="1" xfId="11" applyFont="1" applyBorder="1" applyAlignment="1">
      <alignment horizontal="left" vertical="top" wrapText="1"/>
    </xf>
    <xf numFmtId="0" fontId="8" fillId="0" borderId="1" xfId="11" applyFont="1" applyBorder="1" applyAlignment="1">
      <alignment horizontal="left" vertical="top"/>
    </xf>
    <xf numFmtId="0" fontId="8" fillId="0" borderId="1" xfId="14" applyFont="1" applyBorder="1" applyAlignment="1">
      <alignment horizontal="left" vertical="top" wrapText="1"/>
    </xf>
    <xf numFmtId="0" fontId="8" fillId="0" borderId="1" xfId="5" applyFont="1" applyBorder="1" applyAlignment="1">
      <alignment horizontal="left" vertical="top"/>
    </xf>
    <xf numFmtId="0" fontId="8" fillId="0" borderId="1" xfId="14" applyFont="1" applyBorder="1" applyAlignment="1">
      <alignment horizontal="left" vertical="top"/>
    </xf>
    <xf numFmtId="0" fontId="7" fillId="0" borderId="0" xfId="5" applyFont="1" applyAlignment="1">
      <alignment horizontal="left" vertical="top"/>
    </xf>
    <xf numFmtId="0" fontId="6" fillId="2" borderId="1" xfId="11" applyFont="1" applyFill="1" applyBorder="1" applyAlignment="1">
      <alignment horizontal="left" vertical="top"/>
    </xf>
    <xf numFmtId="0" fontId="6" fillId="2" borderId="1" xfId="11" applyNumberFormat="1" applyFont="1" applyFill="1" applyBorder="1" applyAlignment="1">
      <alignment horizontal="center" vertical="center"/>
    </xf>
    <xf numFmtId="0" fontId="6" fillId="2" borderId="1" xfId="11" applyFont="1" applyFill="1" applyBorder="1" applyAlignment="1">
      <alignment horizontal="center" vertical="center"/>
    </xf>
    <xf numFmtId="166" fontId="6" fillId="2" borderId="1" xfId="2" applyNumberFormat="1" applyFont="1" applyFill="1" applyBorder="1" applyAlignment="1">
      <alignment horizontal="center" vertical="center"/>
    </xf>
    <xf numFmtId="0" fontId="6" fillId="2" borderId="1" xfId="14" applyFont="1" applyFill="1" applyBorder="1" applyAlignment="1">
      <alignment horizontal="center" vertical="center"/>
    </xf>
    <xf numFmtId="166" fontId="6" fillId="2" borderId="1" xfId="13" applyNumberFormat="1" applyFont="1" applyFill="1" applyBorder="1" applyAlignment="1">
      <alignment horizontal="center" vertical="center"/>
    </xf>
    <xf numFmtId="0" fontId="8" fillId="0" borderId="1" xfId="5" applyNumberFormat="1" applyFont="1" applyBorder="1" applyAlignment="1">
      <alignment horizontal="center" vertical="center" wrapText="1"/>
    </xf>
    <xf numFmtId="2" fontId="8" fillId="0" borderId="1" xfId="14" applyNumberFormat="1" applyFont="1" applyBorder="1" applyAlignment="1">
      <alignment horizontal="center" vertical="center"/>
    </xf>
    <xf numFmtId="0" fontId="7" fillId="0" borderId="0" xfId="5" applyNumberFormat="1" applyFont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1" xfId="0" applyNumberFormat="1" applyFont="1" applyFill="1" applyBorder="1" applyAlignment="1">
      <alignment horizontal="center" vertical="center"/>
    </xf>
    <xf numFmtId="166" fontId="11" fillId="6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1" xfId="11" applyFont="1" applyFill="1" applyBorder="1" applyAlignment="1">
      <alignment horizontal="center" vertical="center" wrapText="1"/>
    </xf>
    <xf numFmtId="0" fontId="11" fillId="2" borderId="1" xfId="11" applyFont="1" applyFill="1" applyBorder="1" applyAlignment="1">
      <alignment horizontal="left" vertical="top" wrapText="1"/>
    </xf>
    <xf numFmtId="0" fontId="11" fillId="2" borderId="1" xfId="11" applyNumberFormat="1" applyFont="1" applyFill="1" applyBorder="1" applyAlignment="1">
      <alignment horizontal="center" vertical="center" wrapText="1"/>
    </xf>
    <xf numFmtId="166" fontId="11" fillId="2" borderId="1" xfId="11" applyNumberFormat="1" applyFont="1" applyFill="1" applyBorder="1" applyAlignment="1">
      <alignment horizontal="center" vertical="center" wrapText="1"/>
    </xf>
    <xf numFmtId="0" fontId="6" fillId="7" borderId="1" xfId="11" applyFont="1" applyFill="1" applyBorder="1" applyAlignment="1">
      <alignment horizontal="center" vertical="center"/>
    </xf>
    <xf numFmtId="0" fontId="6" fillId="7" borderId="1" xfId="11" applyNumberFormat="1" applyFont="1" applyFill="1" applyBorder="1" applyAlignment="1">
      <alignment horizontal="center" vertical="center"/>
    </xf>
    <xf numFmtId="166" fontId="6" fillId="7" borderId="1" xfId="2" applyNumberFormat="1" applyFont="1" applyFill="1" applyBorder="1" applyAlignment="1">
      <alignment horizontal="center" vertical="center"/>
    </xf>
    <xf numFmtId="0" fontId="6" fillId="2" borderId="1" xfId="14" applyFont="1" applyFill="1" applyBorder="1" applyAlignment="1">
      <alignment horizontal="center" vertical="center" wrapText="1"/>
    </xf>
    <xf numFmtId="0" fontId="6" fillId="2" borderId="1" xfId="12" applyNumberFormat="1" applyFont="1" applyFill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 wrapText="1"/>
    </xf>
    <xf numFmtId="0" fontId="6" fillId="2" borderId="1" xfId="5" applyNumberFormat="1" applyFont="1" applyFill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2" fillId="0" borderId="0" xfId="0" applyFont="1" applyAlignment="1">
      <alignment horizontal="center" wrapText="1"/>
    </xf>
    <xf numFmtId="0" fontId="6" fillId="8" borderId="1" xfId="11" applyFont="1" applyFill="1" applyBorder="1" applyAlignment="1">
      <alignment horizontal="center" vertical="center"/>
    </xf>
    <xf numFmtId="0" fontId="6" fillId="8" borderId="1" xfId="11" applyFont="1" applyFill="1" applyBorder="1" applyAlignment="1">
      <alignment horizontal="left" vertical="top"/>
    </xf>
    <xf numFmtId="0" fontId="6" fillId="8" borderId="1" xfId="11" applyNumberFormat="1" applyFont="1" applyFill="1" applyBorder="1" applyAlignment="1">
      <alignment horizontal="center" vertical="center"/>
    </xf>
    <xf numFmtId="166" fontId="8" fillId="8" borderId="1" xfId="2" applyNumberFormat="1" applyFont="1" applyFill="1" applyBorder="1" applyAlignment="1">
      <alignment horizontal="center" vertical="center"/>
    </xf>
    <xf numFmtId="0" fontId="6" fillId="8" borderId="1" xfId="11" applyFont="1" applyFill="1" applyBorder="1" applyAlignment="1">
      <alignment horizontal="center" vertical="center" wrapText="1"/>
    </xf>
    <xf numFmtId="0" fontId="6" fillId="8" borderId="1" xfId="11" applyFont="1" applyFill="1" applyBorder="1" applyAlignment="1">
      <alignment horizontal="left" vertical="top" wrapText="1"/>
    </xf>
    <xf numFmtId="0" fontId="6" fillId="8" borderId="1" xfId="11" applyNumberFormat="1" applyFont="1" applyFill="1" applyBorder="1" applyAlignment="1">
      <alignment horizontal="center" vertical="center" wrapText="1"/>
    </xf>
    <xf numFmtId="166" fontId="8" fillId="8" borderId="1" xfId="2" applyNumberFormat="1" applyFont="1" applyFill="1" applyBorder="1" applyAlignment="1">
      <alignment horizontal="center" vertical="center" wrapText="1"/>
    </xf>
    <xf numFmtId="0" fontId="7" fillId="0" borderId="0" xfId="5" applyFont="1" applyAlignment="1">
      <alignment wrapText="1"/>
    </xf>
    <xf numFmtId="0" fontId="6" fillId="8" borderId="1" xfId="12" applyFont="1" applyFill="1" applyBorder="1" applyAlignment="1">
      <alignment horizontal="center" vertical="center" wrapText="1"/>
    </xf>
    <xf numFmtId="0" fontId="6" fillId="8" borderId="1" xfId="12" applyFont="1" applyFill="1" applyBorder="1" applyAlignment="1">
      <alignment horizontal="left" vertical="top" wrapText="1"/>
    </xf>
    <xf numFmtId="0" fontId="6" fillId="8" borderId="1" xfId="12" applyNumberFormat="1" applyFont="1" applyFill="1" applyBorder="1" applyAlignment="1">
      <alignment horizontal="center" vertical="center" wrapText="1"/>
    </xf>
    <xf numFmtId="166" fontId="6" fillId="8" borderId="1" xfId="12" applyNumberFormat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44" fontId="4" fillId="6" borderId="1" xfId="15" applyFont="1" applyFill="1" applyBorder="1" applyAlignment="1">
      <alignment horizontal="center" vertical="center" wrapText="1"/>
    </xf>
    <xf numFmtId="44" fontId="11" fillId="2" borderId="1" xfId="15" applyFont="1" applyFill="1" applyBorder="1" applyAlignment="1">
      <alignment horizontal="center" vertical="center" wrapText="1"/>
    </xf>
    <xf numFmtId="44" fontId="6" fillId="8" borderId="1" xfId="15" applyFont="1" applyFill="1" applyBorder="1" applyAlignment="1">
      <alignment horizontal="center" vertical="center" wrapText="1"/>
    </xf>
    <xf numFmtId="44" fontId="8" fillId="0" borderId="1" xfId="15" applyFont="1" applyBorder="1" applyAlignment="1">
      <alignment horizontal="center" vertical="center"/>
    </xf>
    <xf numFmtId="44" fontId="8" fillId="3" borderId="1" xfId="15" applyFont="1" applyFill="1" applyBorder="1" applyAlignment="1" applyProtection="1">
      <alignment horizontal="center" vertical="center" wrapText="1"/>
      <protection locked="0"/>
    </xf>
    <xf numFmtId="44" fontId="8" fillId="0" borderId="1" xfId="15" applyFont="1" applyFill="1" applyBorder="1" applyAlignment="1" applyProtection="1">
      <alignment horizontal="center" vertical="center" wrapText="1"/>
      <protection locked="0"/>
    </xf>
    <xf numFmtId="44" fontId="6" fillId="2" borderId="1" xfId="15" applyFont="1" applyFill="1" applyBorder="1" applyAlignment="1" applyProtection="1">
      <alignment horizontal="center" vertical="center" wrapText="1"/>
      <protection locked="0"/>
    </xf>
    <xf numFmtId="44" fontId="6" fillId="0" borderId="1" xfId="15" applyFont="1" applyBorder="1" applyAlignment="1">
      <alignment horizontal="center" vertical="center"/>
    </xf>
    <xf numFmtId="44" fontId="6" fillId="7" borderId="1" xfId="15" applyFont="1" applyFill="1" applyBorder="1" applyAlignment="1">
      <alignment horizontal="center" vertical="center"/>
    </xf>
    <xf numFmtId="44" fontId="6" fillId="8" borderId="1" xfId="15" applyFont="1" applyFill="1" applyBorder="1" applyAlignment="1">
      <alignment horizontal="center" vertical="center"/>
    </xf>
    <xf numFmtId="44" fontId="6" fillId="2" borderId="1" xfId="15" applyFont="1" applyFill="1" applyBorder="1" applyAlignment="1">
      <alignment horizontal="center" vertical="center"/>
    </xf>
    <xf numFmtId="44" fontId="8" fillId="0" borderId="1" xfId="15" applyFont="1" applyFill="1" applyBorder="1" applyAlignment="1">
      <alignment horizontal="center" vertical="center"/>
    </xf>
    <xf numFmtId="44" fontId="8" fillId="0" borderId="1" xfId="15" applyFont="1" applyFill="1" applyBorder="1" applyAlignment="1">
      <alignment horizontal="center" vertical="center" wrapText="1"/>
    </xf>
    <xf numFmtId="44" fontId="8" fillId="0" borderId="1" xfId="15" applyFont="1" applyBorder="1" applyAlignment="1">
      <alignment horizontal="center" vertical="center" wrapText="1"/>
    </xf>
    <xf numFmtId="44" fontId="11" fillId="6" borderId="1" xfId="15" applyFont="1" applyFill="1" applyBorder="1" applyAlignment="1">
      <alignment horizontal="center" vertical="center"/>
    </xf>
    <xf numFmtId="44" fontId="7" fillId="0" borderId="0" xfId="15" applyFont="1" applyAlignment="1">
      <alignment horizontal="center" vertical="center"/>
    </xf>
    <xf numFmtId="0" fontId="17" fillId="0" borderId="0" xfId="0" applyFont="1"/>
    <xf numFmtId="0" fontId="8" fillId="0" borderId="1" xfId="16" applyFont="1" applyBorder="1" applyAlignment="1">
      <alignment horizontal="left" vertical="top" wrapText="1"/>
    </xf>
    <xf numFmtId="1" fontId="8" fillId="0" borderId="1" xfId="20" applyNumberFormat="1" applyFont="1" applyBorder="1" applyAlignment="1">
      <alignment horizontal="center" vertical="center"/>
    </xf>
    <xf numFmtId="165" fontId="8" fillId="0" borderId="1" xfId="16" applyNumberFormat="1" applyFont="1" applyBorder="1" applyAlignment="1">
      <alignment horizontal="center" vertical="center"/>
    </xf>
    <xf numFmtId="0" fontId="8" fillId="0" borderId="1" xfId="9" applyFont="1" applyFill="1" applyBorder="1" applyAlignment="1">
      <alignment horizontal="left" vertical="top" wrapText="1"/>
    </xf>
    <xf numFmtId="0" fontId="18" fillId="0" borderId="1" xfId="10" applyFont="1" applyFill="1" applyBorder="1" applyAlignment="1">
      <alignment horizontal="center" vertical="center"/>
    </xf>
    <xf numFmtId="165" fontId="18" fillId="0" borderId="1" xfId="10" applyNumberFormat="1" applyFont="1" applyFill="1" applyBorder="1" applyAlignment="1">
      <alignment horizontal="center" vertical="center"/>
    </xf>
    <xf numFmtId="0" fontId="8" fillId="0" borderId="1" xfId="16" applyFont="1" applyFill="1" applyBorder="1" applyAlignment="1">
      <alignment horizontal="justify" vertical="top" wrapText="1"/>
    </xf>
    <xf numFmtId="3" fontId="8" fillId="0" borderId="1" xfId="9" applyNumberFormat="1" applyFont="1" applyFill="1" applyBorder="1" applyAlignment="1">
      <alignment horizontal="justify" vertical="top" wrapText="1"/>
    </xf>
    <xf numFmtId="0" fontId="16" fillId="0" borderId="1" xfId="0" applyNumberFormat="1" applyFont="1" applyBorder="1" applyAlignment="1">
      <alignment horizontal="center" vertical="center"/>
    </xf>
    <xf numFmtId="44" fontId="16" fillId="0" borderId="1" xfId="15" applyFont="1" applyFill="1" applyBorder="1" applyAlignment="1">
      <alignment horizontal="center" vertical="center"/>
    </xf>
    <xf numFmtId="44" fontId="18" fillId="0" borderId="1" xfId="15" applyFont="1" applyFill="1" applyBorder="1" applyAlignment="1">
      <alignment horizontal="center" vertical="center"/>
    </xf>
    <xf numFmtId="44" fontId="17" fillId="0" borderId="0" xfId="15" applyFont="1"/>
    <xf numFmtId="165" fontId="16" fillId="0" borderId="1" xfId="0" applyNumberFormat="1" applyFont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center" vertical="center"/>
    </xf>
    <xf numFmtId="0" fontId="6" fillId="2" borderId="1" xfId="16" applyFont="1" applyFill="1" applyBorder="1" applyAlignment="1">
      <alignment horizontal="left" vertical="top" wrapText="1"/>
    </xf>
    <xf numFmtId="0" fontId="8" fillId="2" borderId="1" xfId="17" applyFont="1" applyFill="1" applyBorder="1" applyAlignment="1">
      <alignment horizontal="center" vertical="center" wrapText="1"/>
    </xf>
    <xf numFmtId="165" fontId="8" fillId="2" borderId="1" xfId="18" applyNumberFormat="1" applyFont="1" applyFill="1" applyBorder="1" applyAlignment="1">
      <alignment horizontal="center" vertical="center"/>
    </xf>
    <xf numFmtId="44" fontId="8" fillId="2" borderId="1" xfId="15" applyFont="1" applyFill="1" applyBorder="1" applyAlignment="1" applyProtection="1">
      <alignment horizontal="center" vertical="center"/>
      <protection locked="0"/>
    </xf>
    <xf numFmtId="44" fontId="16" fillId="2" borderId="1" xfId="15" applyFont="1" applyFill="1" applyBorder="1" applyAlignment="1">
      <alignment horizontal="center" vertical="center"/>
    </xf>
    <xf numFmtId="2" fontId="16" fillId="9" borderId="1" xfId="0" applyNumberFormat="1" applyFont="1" applyFill="1" applyBorder="1" applyAlignment="1">
      <alignment horizontal="center" vertical="center"/>
    </xf>
    <xf numFmtId="0" fontId="6" fillId="9" borderId="1" xfId="16" applyFont="1" applyFill="1" applyBorder="1" applyAlignment="1">
      <alignment horizontal="left" vertical="top" wrapText="1"/>
    </xf>
    <xf numFmtId="0" fontId="8" fillId="9" borderId="1" xfId="21" applyFont="1" applyFill="1" applyBorder="1" applyAlignment="1">
      <alignment horizontal="center" vertical="center" wrapText="1"/>
    </xf>
    <xf numFmtId="165" fontId="8" fillId="9" borderId="1" xfId="22" applyNumberFormat="1" applyFont="1" applyFill="1" applyBorder="1" applyAlignment="1">
      <alignment horizontal="center" vertical="center"/>
    </xf>
    <xf numFmtId="44" fontId="8" fillId="9" borderId="1" xfId="15" applyFont="1" applyFill="1" applyBorder="1" applyAlignment="1">
      <alignment horizontal="center" vertical="center"/>
    </xf>
    <xf numFmtId="44" fontId="16" fillId="9" borderId="1" xfId="15" applyFont="1" applyFill="1" applyBorder="1" applyAlignment="1">
      <alignment horizontal="center" vertical="center"/>
    </xf>
    <xf numFmtId="44" fontId="21" fillId="10" borderId="1" xfId="15" applyFon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center" vertical="center"/>
    </xf>
    <xf numFmtId="44" fontId="20" fillId="10" borderId="1" xfId="15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44" fontId="23" fillId="0" borderId="0" xfId="15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4" fontId="24" fillId="0" borderId="1" xfId="15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top" wrapText="1"/>
    </xf>
    <xf numFmtId="44" fontId="23" fillId="0" borderId="1" xfId="15" applyFont="1" applyBorder="1" applyAlignment="1">
      <alignment horizontal="center" vertical="center"/>
    </xf>
    <xf numFmtId="0" fontId="22" fillId="11" borderId="1" xfId="0" applyFont="1" applyFill="1" applyBorder="1" applyAlignment="1">
      <alignment horizontal="center" vertical="center"/>
    </xf>
    <xf numFmtId="0" fontId="22" fillId="11" borderId="1" xfId="0" applyFont="1" applyFill="1" applyBorder="1" applyAlignment="1">
      <alignment horizontal="left" vertical="top" wrapText="1"/>
    </xf>
    <xf numFmtId="44" fontId="22" fillId="11" borderId="1" xfId="15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 wrapText="1"/>
    </xf>
    <xf numFmtId="44" fontId="24" fillId="12" borderId="1" xfId="15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center"/>
    </xf>
    <xf numFmtId="44" fontId="23" fillId="0" borderId="1" xfId="15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2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166" fontId="8" fillId="4" borderId="1" xfId="4" applyNumberFormat="1" applyFont="1" applyFill="1" applyBorder="1" applyAlignment="1">
      <alignment horizontal="center" vertical="center" wrapText="1"/>
    </xf>
    <xf numFmtId="165" fontId="8" fillId="0" borderId="1" xfId="14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8" applyNumberFormat="1" applyFont="1" applyBorder="1" applyAlignment="1">
      <alignment horizontal="center" vertical="center" wrapText="1"/>
    </xf>
    <xf numFmtId="166" fontId="8" fillId="0" borderId="1" xfId="8" applyNumberFormat="1" applyFont="1" applyBorder="1" applyAlignment="1">
      <alignment horizontal="center" vertical="center" wrapText="1"/>
    </xf>
    <xf numFmtId="2" fontId="8" fillId="0" borderId="1" xfId="14" applyNumberFormat="1" applyFont="1" applyBorder="1" applyAlignment="1">
      <alignment horizontal="center" vertical="center" wrapText="1"/>
    </xf>
    <xf numFmtId="165" fontId="11" fillId="6" borderId="1" xfId="14" applyNumberFormat="1" applyFont="1" applyFill="1" applyBorder="1" applyAlignment="1">
      <alignment horizontal="center" vertical="center" wrapText="1"/>
    </xf>
    <xf numFmtId="0" fontId="11" fillId="6" borderId="1" xfId="14" applyFont="1" applyFill="1" applyBorder="1" applyAlignment="1">
      <alignment horizontal="center" vertical="center" wrapText="1"/>
    </xf>
    <xf numFmtId="0" fontId="11" fillId="6" borderId="1" xfId="8" applyNumberFormat="1" applyFont="1" applyFill="1" applyBorder="1" applyAlignment="1">
      <alignment horizontal="center" vertical="center" wrapText="1"/>
    </xf>
    <xf numFmtId="44" fontId="11" fillId="6" borderId="1" xfId="15" applyFont="1" applyFill="1" applyBorder="1" applyAlignment="1">
      <alignment horizontal="center" vertical="center" wrapText="1"/>
    </xf>
    <xf numFmtId="166" fontId="11" fillId="6" borderId="1" xfId="8" applyNumberFormat="1" applyFont="1" applyFill="1" applyBorder="1" applyAlignment="1">
      <alignment horizontal="center" vertical="center" wrapText="1"/>
    </xf>
    <xf numFmtId="0" fontId="25" fillId="13" borderId="1" xfId="0" applyFont="1" applyFill="1" applyBorder="1" applyAlignment="1">
      <alignment horizontal="center" vertical="center" wrapText="1"/>
    </xf>
    <xf numFmtId="0" fontId="25" fillId="13" borderId="1" xfId="0" applyFont="1" applyFill="1" applyBorder="1" applyAlignment="1">
      <alignment vertical="center"/>
    </xf>
    <xf numFmtId="166" fontId="25" fillId="13" borderId="1" xfId="0" applyNumberFormat="1" applyFont="1" applyFill="1" applyBorder="1" applyAlignment="1">
      <alignment vertical="center"/>
    </xf>
    <xf numFmtId="0" fontId="26" fillId="0" borderId="0" xfId="0" applyFont="1"/>
    <xf numFmtId="0" fontId="26" fillId="0" borderId="0" xfId="0" applyFont="1" applyAlignment="1">
      <alignment wrapText="1"/>
    </xf>
    <xf numFmtId="44" fontId="26" fillId="0" borderId="0" xfId="15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/>
    <xf numFmtId="0" fontId="25" fillId="9" borderId="1" xfId="0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horizontal="center" vertical="center" wrapText="1"/>
    </xf>
    <xf numFmtId="44" fontId="25" fillId="9" borderId="1" xfId="15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166" fontId="16" fillId="9" borderId="1" xfId="15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49" fontId="24" fillId="0" borderId="1" xfId="0" applyNumberFormat="1" applyFont="1" applyBorder="1" applyAlignment="1">
      <alignment horizontal="left" vertical="center" wrapText="1"/>
    </xf>
    <xf numFmtId="44" fontId="24" fillId="0" borderId="1" xfId="15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6" fillId="0" borderId="1" xfId="11" applyFont="1" applyFill="1" applyBorder="1" applyAlignment="1">
      <alignment horizontal="center" vertical="center"/>
    </xf>
    <xf numFmtId="166" fontId="8" fillId="0" borderId="1" xfId="2" applyNumberFormat="1" applyFont="1" applyFill="1" applyBorder="1" applyAlignment="1">
      <alignment horizontal="center" vertical="center"/>
    </xf>
    <xf numFmtId="0" fontId="8" fillId="0" borderId="1" xfId="11" applyFont="1" applyFill="1" applyBorder="1" applyAlignment="1">
      <alignment horizontal="left" vertical="top"/>
    </xf>
    <xf numFmtId="0" fontId="8" fillId="0" borderId="1" xfId="11" applyFont="1" applyFill="1" applyBorder="1" applyAlignment="1">
      <alignment horizontal="center" vertical="center"/>
    </xf>
    <xf numFmtId="0" fontId="8" fillId="0" borderId="1" xfId="11" applyNumberFormat="1" applyFont="1" applyFill="1" applyBorder="1" applyAlignment="1">
      <alignment horizontal="center" vertical="center"/>
    </xf>
    <xf numFmtId="0" fontId="13" fillId="5" borderId="2" xfId="1" applyFont="1" applyFill="1" applyBorder="1" applyAlignment="1">
      <alignment horizontal="center" vertical="center" wrapText="1"/>
    </xf>
    <xf numFmtId="0" fontId="25" fillId="13" borderId="2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center" vertical="center"/>
    </xf>
  </cellXfs>
  <cellStyles count="23">
    <cellStyle name="Comma 10 2" xfId="4"/>
    <cellStyle name="Comma 10 2 2" xfId="19"/>
    <cellStyle name="Comma 11 2" xfId="13"/>
    <cellStyle name="Comma 2" xfId="7"/>
    <cellStyle name="Comma 2 2" xfId="8"/>
    <cellStyle name="Comma 2 2 3" xfId="2"/>
    <cellStyle name="Comma 3" xfId="6"/>
    <cellStyle name="Comma 3 17" xfId="20"/>
    <cellStyle name="Comma_Blank B.Q - Tile Center Limited" xfId="18"/>
    <cellStyle name="Currency" xfId="15" builtinId="4"/>
    <cellStyle name="Normal" xfId="0" builtinId="0"/>
    <cellStyle name="Normal 19_PROPOSED OFFICES AND WAREHOUSES AT KAPCHORWA (300mt) FOR UN-WFP" xfId="10"/>
    <cellStyle name="Normal 2 10 2 2" xfId="9"/>
    <cellStyle name="Normal 2 17" xfId="22"/>
    <cellStyle name="Normal 2 2" xfId="14"/>
    <cellStyle name="Normal 20" xfId="3"/>
    <cellStyle name="Normal 20 2" xfId="11"/>
    <cellStyle name="Normal 3 2" xfId="5"/>
    <cellStyle name="Normal 4" xfId="1"/>
    <cellStyle name="Normal 6 3" xfId="12"/>
    <cellStyle name="Normal_0.5   Bills of Quantities Section - Summit View 2_PROPOSED ORTHOPAEDIC HOSPITAL (PHASE 1a) - SEB BILLS FINAL" xfId="17"/>
    <cellStyle name="Normal_Bills of Quantities - unpriced 2" xfId="16"/>
    <cellStyle name="Normal_Bills of Quantities - unpriced 5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zoomScaleNormal="100" zoomScaleSheetLayoutView="100" workbookViewId="0">
      <selection activeCell="E51" sqref="E51"/>
    </sheetView>
  </sheetViews>
  <sheetFormatPr defaultColWidth="9.19921875" defaultRowHeight="13.2"/>
  <cols>
    <col min="1" max="1" width="6.69921875" style="41" bestFit="1" customWidth="1"/>
    <col min="2" max="2" width="62.19921875" style="50" customWidth="1"/>
    <col min="3" max="3" width="9.19921875" style="41"/>
    <col min="4" max="4" width="12.69921875" style="59" bestFit="1" customWidth="1"/>
    <col min="5" max="5" width="13.3984375" style="107" bestFit="1" customWidth="1"/>
    <col min="6" max="6" width="14.69921875" style="42" customWidth="1"/>
    <col min="7" max="16384" width="9.19921875" style="4"/>
  </cols>
  <sheetData>
    <row r="1" spans="1:6" s="1" customFormat="1" ht="69" customHeight="1">
      <c r="A1" s="200" t="s">
        <v>154</v>
      </c>
      <c r="B1" s="200"/>
      <c r="C1" s="200"/>
      <c r="D1" s="200"/>
      <c r="E1" s="200"/>
      <c r="F1" s="200"/>
    </row>
    <row r="2" spans="1:6" s="76" customFormat="1" ht="40.799999999999997">
      <c r="A2" s="91" t="s">
        <v>0</v>
      </c>
      <c r="B2" s="91" t="s">
        <v>98</v>
      </c>
      <c r="C2" s="91" t="s">
        <v>99</v>
      </c>
      <c r="D2" s="91" t="s">
        <v>100</v>
      </c>
      <c r="E2" s="92" t="s">
        <v>101</v>
      </c>
      <c r="F2" s="91" t="s">
        <v>102</v>
      </c>
    </row>
    <row r="3" spans="1:6" s="3" customFormat="1" ht="17.399999999999999">
      <c r="A3" s="65" t="s">
        <v>32</v>
      </c>
      <c r="B3" s="66" t="s">
        <v>81</v>
      </c>
      <c r="C3" s="65"/>
      <c r="D3" s="67"/>
      <c r="E3" s="93"/>
      <c r="F3" s="68"/>
    </row>
    <row r="4" spans="1:6" ht="15.6">
      <c r="A4" s="87" t="s">
        <v>38</v>
      </c>
      <c r="B4" s="88" t="s">
        <v>37</v>
      </c>
      <c r="C4" s="87"/>
      <c r="D4" s="89"/>
      <c r="E4" s="94"/>
      <c r="F4" s="90"/>
    </row>
    <row r="5" spans="1:6" ht="15.6">
      <c r="A5" s="5">
        <v>1</v>
      </c>
      <c r="B5" s="43" t="s">
        <v>7</v>
      </c>
      <c r="C5" s="6"/>
      <c r="D5" s="31"/>
      <c r="E5" s="95"/>
      <c r="F5" s="7"/>
    </row>
    <row r="6" spans="1:6" ht="31.2">
      <c r="A6" s="5">
        <v>1.1000000000000001</v>
      </c>
      <c r="B6" s="32" t="s">
        <v>8</v>
      </c>
      <c r="C6" s="5" t="s">
        <v>9</v>
      </c>
      <c r="D6" s="8">
        <f>4*3</f>
        <v>12</v>
      </c>
      <c r="E6" s="96"/>
      <c r="F6" s="9">
        <f>E6*D6</f>
        <v>0</v>
      </c>
    </row>
    <row r="7" spans="1:6" ht="15.6">
      <c r="A7" s="87" t="s">
        <v>39</v>
      </c>
      <c r="B7" s="88" t="s">
        <v>36</v>
      </c>
      <c r="C7" s="87"/>
      <c r="D7" s="89"/>
      <c r="E7" s="94"/>
      <c r="F7" s="90"/>
    </row>
    <row r="8" spans="1:6" ht="15.6">
      <c r="A8" s="5">
        <v>2</v>
      </c>
      <c r="B8" s="43" t="s">
        <v>10</v>
      </c>
      <c r="C8" s="5"/>
      <c r="D8" s="8"/>
      <c r="E8" s="96"/>
      <c r="F8" s="9"/>
    </row>
    <row r="9" spans="1:6" s="3" customFormat="1" ht="31.2">
      <c r="A9" s="5">
        <v>2.1</v>
      </c>
      <c r="B9" s="32" t="s">
        <v>11</v>
      </c>
      <c r="C9" s="6" t="s">
        <v>63</v>
      </c>
      <c r="D9" s="10">
        <f>4*(1.7*1.7*1.2)</f>
        <v>13.871999999999998</v>
      </c>
      <c r="E9" s="95"/>
      <c r="F9" s="9">
        <f t="shared" ref="F9:F13" si="0">E9*D9</f>
        <v>0</v>
      </c>
    </row>
    <row r="10" spans="1:6" ht="31.2">
      <c r="A10" s="5">
        <v>2.2000000000000002</v>
      </c>
      <c r="B10" s="32" t="s">
        <v>12</v>
      </c>
      <c r="C10" s="6" t="s">
        <v>63</v>
      </c>
      <c r="D10" s="8">
        <f>4*(1.7*1.7*0.5)</f>
        <v>5.7799999999999994</v>
      </c>
      <c r="E10" s="96"/>
      <c r="F10" s="9">
        <f t="shared" si="0"/>
        <v>0</v>
      </c>
    </row>
    <row r="11" spans="1:6" s="3" customFormat="1" ht="31.2">
      <c r="A11" s="11">
        <f>A10+0.1</f>
        <v>2.3000000000000003</v>
      </c>
      <c r="B11" s="44" t="s">
        <v>3</v>
      </c>
      <c r="C11" s="6" t="s">
        <v>63</v>
      </c>
      <c r="D11" s="12">
        <f>4*((1.2*0.17*1.7)-(0.3*0.3*1.2))</f>
        <v>0.95520000000000005</v>
      </c>
      <c r="E11" s="95"/>
      <c r="F11" s="9">
        <f t="shared" si="0"/>
        <v>0</v>
      </c>
    </row>
    <row r="12" spans="1:6" s="3" customFormat="1" ht="18.600000000000001">
      <c r="A12" s="11">
        <f t="shared" ref="A12:A13" si="1">A11+0.1</f>
        <v>2.4000000000000004</v>
      </c>
      <c r="B12" s="44" t="s">
        <v>2</v>
      </c>
      <c r="C12" s="6" t="s">
        <v>63</v>
      </c>
      <c r="D12" s="13">
        <v>18.72</v>
      </c>
      <c r="E12" s="95"/>
      <c r="F12" s="9">
        <f t="shared" si="0"/>
        <v>0</v>
      </c>
    </row>
    <row r="13" spans="1:6" s="3" customFormat="1" ht="31.2">
      <c r="A13" s="11">
        <f t="shared" si="1"/>
        <v>2.5000000000000004</v>
      </c>
      <c r="B13" s="44" t="s">
        <v>5</v>
      </c>
      <c r="C13" s="6" t="s">
        <v>63</v>
      </c>
      <c r="D13" s="14">
        <f>4*(1.7*1.7*0.05)</f>
        <v>0.57799999999999996</v>
      </c>
      <c r="E13" s="97"/>
      <c r="F13" s="9">
        <f t="shared" si="0"/>
        <v>0</v>
      </c>
    </row>
    <row r="14" spans="1:6" s="3" customFormat="1" ht="15.6">
      <c r="A14" s="53"/>
      <c r="B14" s="2" t="s">
        <v>13</v>
      </c>
      <c r="C14" s="72"/>
      <c r="D14" s="73"/>
      <c r="E14" s="98"/>
      <c r="F14" s="16">
        <f>SUM(F6:F13)</f>
        <v>0</v>
      </c>
    </row>
    <row r="15" spans="1:6" s="3" customFormat="1" ht="15.6">
      <c r="A15" s="87" t="s">
        <v>40</v>
      </c>
      <c r="B15" s="88" t="s">
        <v>35</v>
      </c>
      <c r="C15" s="87"/>
      <c r="D15" s="89"/>
      <c r="E15" s="94"/>
      <c r="F15" s="90"/>
    </row>
    <row r="16" spans="1:6" s="3" customFormat="1" ht="15.6">
      <c r="A16" s="11"/>
      <c r="B16" s="45" t="s">
        <v>14</v>
      </c>
      <c r="C16" s="11"/>
      <c r="D16" s="18"/>
      <c r="E16" s="95"/>
      <c r="F16" s="19"/>
    </row>
    <row r="17" spans="1:6" s="3" customFormat="1" ht="15.6">
      <c r="A17" s="11"/>
      <c r="B17" s="46" t="s">
        <v>15</v>
      </c>
      <c r="C17" s="11"/>
      <c r="D17" s="17"/>
      <c r="E17" s="99"/>
      <c r="F17" s="19"/>
    </row>
    <row r="18" spans="1:6" ht="15.6">
      <c r="A18" s="5">
        <v>3</v>
      </c>
      <c r="B18" s="43" t="s">
        <v>14</v>
      </c>
      <c r="C18" s="5"/>
      <c r="D18" s="8"/>
      <c r="E18" s="96"/>
      <c r="F18" s="9"/>
    </row>
    <row r="19" spans="1:6" ht="46.8">
      <c r="A19" s="5">
        <v>3.1</v>
      </c>
      <c r="B19" s="23" t="s">
        <v>70</v>
      </c>
      <c r="C19" s="6" t="s">
        <v>63</v>
      </c>
      <c r="D19" s="8">
        <f>(1.7*1.7*0.05)*4</f>
        <v>0.57799999999999996</v>
      </c>
      <c r="E19" s="96"/>
      <c r="F19" s="20">
        <f>E19*D19</f>
        <v>0</v>
      </c>
    </row>
    <row r="20" spans="1:6" ht="46.8">
      <c r="A20" s="21">
        <v>3.3</v>
      </c>
      <c r="B20" s="23" t="s">
        <v>16</v>
      </c>
      <c r="C20" s="6" t="s">
        <v>63</v>
      </c>
      <c r="D20" s="22">
        <f>(0.3*0.3*1.2*4)</f>
        <v>0.432</v>
      </c>
      <c r="E20" s="97"/>
      <c r="F20" s="20">
        <f>E20*D20</f>
        <v>0</v>
      </c>
    </row>
    <row r="21" spans="1:6" s="3" customFormat="1" ht="15.6">
      <c r="A21" s="69"/>
      <c r="B21" s="69" t="s">
        <v>13</v>
      </c>
      <c r="C21" s="69"/>
      <c r="D21" s="70"/>
      <c r="E21" s="100"/>
      <c r="F21" s="71">
        <f>SUM(F19:F20)</f>
        <v>0</v>
      </c>
    </row>
    <row r="22" spans="1:6" s="3" customFormat="1" ht="15.6">
      <c r="A22" s="78" t="s">
        <v>41</v>
      </c>
      <c r="B22" s="79" t="s">
        <v>34</v>
      </c>
      <c r="C22" s="78"/>
      <c r="D22" s="80"/>
      <c r="E22" s="101"/>
      <c r="F22" s="81"/>
    </row>
    <row r="23" spans="1:6" ht="15.6">
      <c r="A23" s="5">
        <v>4</v>
      </c>
      <c r="B23" s="43" t="s">
        <v>17</v>
      </c>
      <c r="C23" s="5"/>
      <c r="D23" s="8"/>
      <c r="E23" s="96"/>
      <c r="F23" s="9"/>
    </row>
    <row r="24" spans="1:6" ht="80.7" customHeight="1">
      <c r="A24" s="5">
        <v>4.0999999999999996</v>
      </c>
      <c r="B24" s="23" t="s">
        <v>71</v>
      </c>
      <c r="C24" s="6" t="s">
        <v>63</v>
      </c>
      <c r="D24" s="14">
        <f>(0.4*4.4*0.2*14)</f>
        <v>4.9280000000000008</v>
      </c>
      <c r="E24" s="96"/>
      <c r="F24" s="20">
        <f>E24*D24</f>
        <v>0</v>
      </c>
    </row>
    <row r="25" spans="1:6" ht="109.2">
      <c r="A25" s="5">
        <v>4.2</v>
      </c>
      <c r="B25" s="23" t="s">
        <v>73</v>
      </c>
      <c r="C25" s="6" t="s">
        <v>63</v>
      </c>
      <c r="D25" s="24">
        <f>(0.3*0.3*8.75)*4</f>
        <v>3.15</v>
      </c>
      <c r="E25" s="96"/>
      <c r="F25" s="20">
        <f>E25*D25</f>
        <v>0</v>
      </c>
    </row>
    <row r="26" spans="1:6" ht="109.2">
      <c r="A26" s="5">
        <v>4.3</v>
      </c>
      <c r="B26" s="23" t="s">
        <v>75</v>
      </c>
      <c r="C26" s="6" t="s">
        <v>63</v>
      </c>
      <c r="D26" s="25">
        <f>(22.1*0.6*0.3)*2</f>
        <v>7.9559999999999995</v>
      </c>
      <c r="E26" s="96"/>
      <c r="F26" s="20">
        <f t="shared" ref="F26:F28" si="2">E26*D26</f>
        <v>0</v>
      </c>
    </row>
    <row r="27" spans="1:6" ht="93.6">
      <c r="A27" s="6">
        <v>4.3</v>
      </c>
      <c r="B27" s="23" t="s">
        <v>74</v>
      </c>
      <c r="C27" s="6" t="s">
        <v>63</v>
      </c>
      <c r="D27" s="26">
        <f>(14*2*0.2)</f>
        <v>5.6000000000000005</v>
      </c>
      <c r="E27" s="96"/>
      <c r="F27" s="20">
        <f t="shared" si="2"/>
        <v>0</v>
      </c>
    </row>
    <row r="28" spans="1:6" ht="93.6">
      <c r="A28" s="6">
        <v>4.4000000000000004</v>
      </c>
      <c r="B28" s="23" t="s">
        <v>64</v>
      </c>
      <c r="C28" s="6" t="s">
        <v>63</v>
      </c>
      <c r="D28" s="27">
        <f>(4.7*4.7*0.15)</f>
        <v>3.3135000000000003</v>
      </c>
      <c r="E28" s="97"/>
      <c r="F28" s="20">
        <f t="shared" si="2"/>
        <v>0</v>
      </c>
    </row>
    <row r="29" spans="1:6" s="3" customFormat="1" ht="15.6">
      <c r="A29" s="15"/>
      <c r="B29" s="51" t="s">
        <v>13</v>
      </c>
      <c r="C29" s="53"/>
      <c r="D29" s="52"/>
      <c r="E29" s="102"/>
      <c r="F29" s="54">
        <f>SUM(F24:F28)</f>
        <v>0</v>
      </c>
    </row>
    <row r="30" spans="1:6" s="3" customFormat="1" ht="15.6">
      <c r="A30" s="78" t="s">
        <v>42</v>
      </c>
      <c r="B30" s="79" t="s">
        <v>33</v>
      </c>
      <c r="C30" s="78"/>
      <c r="D30" s="80"/>
      <c r="E30" s="101"/>
      <c r="F30" s="81"/>
    </row>
    <row r="31" spans="1:6" s="3" customFormat="1" ht="31.2">
      <c r="A31" s="11">
        <v>5.0999999999999996</v>
      </c>
      <c r="B31" s="44" t="s">
        <v>18</v>
      </c>
      <c r="C31" s="28" t="s">
        <v>19</v>
      </c>
      <c r="D31" s="13">
        <f>14*2*3</f>
        <v>84</v>
      </c>
      <c r="E31" s="95"/>
      <c r="F31" s="29">
        <f>E31*D31</f>
        <v>0</v>
      </c>
    </row>
    <row r="32" spans="1:6" s="3" customFormat="1" ht="46.8">
      <c r="A32" s="11">
        <v>5.2</v>
      </c>
      <c r="B32" s="44" t="s">
        <v>20</v>
      </c>
      <c r="C32" s="21" t="s">
        <v>9</v>
      </c>
      <c r="D32" s="30">
        <f>D31</f>
        <v>84</v>
      </c>
      <c r="E32" s="103"/>
      <c r="F32" s="29">
        <f>E32*D32</f>
        <v>0</v>
      </c>
    </row>
    <row r="33" spans="1:6" ht="15.6">
      <c r="A33" s="55"/>
      <c r="B33" s="55" t="s">
        <v>21</v>
      </c>
      <c r="C33" s="74"/>
      <c r="D33" s="75"/>
      <c r="E33" s="102"/>
      <c r="F33" s="56">
        <f>SUM(F31:F32)</f>
        <v>0</v>
      </c>
    </row>
    <row r="34" spans="1:6" ht="15.6">
      <c r="A34" s="78" t="s">
        <v>43</v>
      </c>
      <c r="B34" s="79" t="s">
        <v>72</v>
      </c>
      <c r="C34" s="78"/>
      <c r="D34" s="80"/>
      <c r="E34" s="101"/>
      <c r="F34" s="81"/>
    </row>
    <row r="35" spans="1:6" ht="29.7" customHeight="1">
      <c r="A35" s="195"/>
      <c r="B35" s="197" t="s">
        <v>152</v>
      </c>
      <c r="C35" s="198" t="s">
        <v>153</v>
      </c>
      <c r="D35" s="199">
        <f>0.7*0.4*510</f>
        <v>142.79999999999998</v>
      </c>
      <c r="E35" s="103"/>
      <c r="F35" s="196">
        <f>E35*D35</f>
        <v>0</v>
      </c>
    </row>
    <row r="36" spans="1:6" ht="46.8">
      <c r="A36" s="22">
        <v>5.4</v>
      </c>
      <c r="B36" s="47" t="s">
        <v>151</v>
      </c>
      <c r="C36" s="28" t="s">
        <v>76</v>
      </c>
      <c r="D36" s="34">
        <v>510</v>
      </c>
      <c r="E36" s="97"/>
      <c r="F36" s="35">
        <f t="shared" ref="F36:F38" si="3">E36*D36</f>
        <v>0</v>
      </c>
    </row>
    <row r="37" spans="1:6" ht="70.95" customHeight="1">
      <c r="A37" s="6">
        <v>5.5</v>
      </c>
      <c r="B37" s="47" t="s">
        <v>22</v>
      </c>
      <c r="C37" s="28" t="s">
        <v>77</v>
      </c>
      <c r="D37" s="34">
        <v>1</v>
      </c>
      <c r="E37" s="97"/>
      <c r="F37" s="35">
        <f t="shared" si="3"/>
        <v>0</v>
      </c>
    </row>
    <row r="38" spans="1:6" ht="40.200000000000003" customHeight="1">
      <c r="A38" s="22">
        <v>5.6</v>
      </c>
      <c r="B38" s="47" t="s">
        <v>79</v>
      </c>
      <c r="C38" s="28" t="s">
        <v>0</v>
      </c>
      <c r="D38" s="34">
        <v>1</v>
      </c>
      <c r="E38" s="97"/>
      <c r="F38" s="35">
        <f t="shared" si="3"/>
        <v>0</v>
      </c>
    </row>
    <row r="39" spans="1:6" s="3" customFormat="1" ht="15.6">
      <c r="A39" s="53"/>
      <c r="B39" s="2" t="s">
        <v>21</v>
      </c>
      <c r="C39" s="72"/>
      <c r="D39" s="73"/>
      <c r="E39" s="98"/>
      <c r="F39" s="16">
        <f>SUM(F35:F38)</f>
        <v>0</v>
      </c>
    </row>
    <row r="40" spans="1:6" ht="15.6">
      <c r="A40" s="78" t="s">
        <v>103</v>
      </c>
      <c r="B40" s="79" t="s">
        <v>78</v>
      </c>
      <c r="C40" s="78"/>
      <c r="D40" s="80"/>
      <c r="E40" s="101"/>
      <c r="F40" s="81"/>
    </row>
    <row r="41" spans="1:6" ht="31.2">
      <c r="A41" s="6">
        <v>6.1</v>
      </c>
      <c r="B41" s="32" t="s">
        <v>23</v>
      </c>
      <c r="C41" s="5" t="s">
        <v>9</v>
      </c>
      <c r="D41" s="18">
        <f>14*2</f>
        <v>28</v>
      </c>
      <c r="E41" s="105"/>
      <c r="F41" s="36">
        <f>E41*D41</f>
        <v>0</v>
      </c>
    </row>
    <row r="42" spans="1:6" ht="31.2">
      <c r="A42" s="6">
        <v>6.2</v>
      </c>
      <c r="B42" s="32" t="s">
        <v>24</v>
      </c>
      <c r="C42" s="5" t="s">
        <v>9</v>
      </c>
      <c r="D42" s="57">
        <f>D41</f>
        <v>28</v>
      </c>
      <c r="E42" s="105"/>
      <c r="F42" s="36">
        <f t="shared" ref="F42" si="4">E42*D42</f>
        <v>0</v>
      </c>
    </row>
    <row r="43" spans="1:6" s="3" customFormat="1" ht="15.6">
      <c r="A43" s="53"/>
      <c r="B43" s="2" t="s">
        <v>21</v>
      </c>
      <c r="C43" s="72"/>
      <c r="D43" s="73"/>
      <c r="E43" s="98"/>
      <c r="F43" s="16">
        <f>SUM(F41:F42)</f>
        <v>0</v>
      </c>
    </row>
    <row r="44" spans="1:6" ht="15.6">
      <c r="A44" s="78" t="s">
        <v>129</v>
      </c>
      <c r="B44" s="79" t="s">
        <v>25</v>
      </c>
      <c r="C44" s="78"/>
      <c r="D44" s="80"/>
      <c r="E44" s="101"/>
      <c r="F44" s="81"/>
    </row>
    <row r="45" spans="1:6" ht="18.600000000000001">
      <c r="A45" s="6">
        <v>6.3</v>
      </c>
      <c r="B45" s="32" t="s">
        <v>26</v>
      </c>
      <c r="C45" s="6" t="s">
        <v>63</v>
      </c>
      <c r="D45" s="58">
        <f>4*3*0.05</f>
        <v>0.60000000000000009</v>
      </c>
      <c r="E45" s="95"/>
      <c r="F45" s="38">
        <f>E45*D45</f>
        <v>0</v>
      </c>
    </row>
    <row r="46" spans="1:6" ht="18.600000000000001">
      <c r="A46" s="6">
        <v>6.4</v>
      </c>
      <c r="B46" s="48" t="s">
        <v>27</v>
      </c>
      <c r="C46" s="6" t="s">
        <v>63</v>
      </c>
      <c r="D46" s="58">
        <f>4*3*0.2</f>
        <v>2.4000000000000004</v>
      </c>
      <c r="E46" s="95"/>
      <c r="F46" s="38">
        <f t="shared" ref="F46:F48" si="5">E46*D46</f>
        <v>0</v>
      </c>
    </row>
    <row r="47" spans="1:6" ht="15.6">
      <c r="A47" s="6">
        <v>6.5</v>
      </c>
      <c r="B47" s="49" t="s">
        <v>28</v>
      </c>
      <c r="C47" s="21" t="s">
        <v>9</v>
      </c>
      <c r="D47" s="22">
        <f>(1.4*4)*1</f>
        <v>5.6</v>
      </c>
      <c r="E47" s="95"/>
      <c r="F47" s="38">
        <f t="shared" si="5"/>
        <v>0</v>
      </c>
    </row>
    <row r="48" spans="1:6" ht="18.600000000000001">
      <c r="A48" s="6">
        <v>6.6</v>
      </c>
      <c r="B48" s="47" t="s">
        <v>29</v>
      </c>
      <c r="C48" s="6" t="s">
        <v>63</v>
      </c>
      <c r="D48" s="22">
        <f>ROUNDUP(((1.4*1.4)-(1*1))*100/1000,2)</f>
        <v>9.9999999999999992E-2</v>
      </c>
      <c r="E48" s="95"/>
      <c r="F48" s="38">
        <f t="shared" si="5"/>
        <v>0</v>
      </c>
    </row>
    <row r="49" spans="1:6" s="3" customFormat="1" ht="15.6">
      <c r="A49" s="53"/>
      <c r="B49" s="2" t="s">
        <v>45</v>
      </c>
      <c r="C49" s="72"/>
      <c r="D49" s="73"/>
      <c r="E49" s="98"/>
      <c r="F49" s="16">
        <f>SUM(F45:F48)</f>
        <v>0</v>
      </c>
    </row>
    <row r="50" spans="1:6" ht="15.6">
      <c r="A50" s="78" t="s">
        <v>32</v>
      </c>
      <c r="B50" s="79" t="s">
        <v>30</v>
      </c>
      <c r="C50" s="78"/>
      <c r="D50" s="80"/>
      <c r="E50" s="101"/>
      <c r="F50" s="81"/>
    </row>
    <row r="51" spans="1:6" ht="20.7" customHeight="1">
      <c r="A51" s="39">
        <v>6.7</v>
      </c>
      <c r="B51" s="47" t="s">
        <v>44</v>
      </c>
      <c r="C51" s="33" t="s">
        <v>31</v>
      </c>
      <c r="D51" s="31">
        <v>1</v>
      </c>
      <c r="E51" s="105"/>
      <c r="F51" s="37">
        <f>E51*D51</f>
        <v>0</v>
      </c>
    </row>
    <row r="52" spans="1:6" s="64" customFormat="1" ht="29.7" customHeight="1">
      <c r="A52" s="60"/>
      <c r="B52" s="61" t="s">
        <v>104</v>
      </c>
      <c r="C52" s="61"/>
      <c r="D52" s="62"/>
      <c r="E52" s="106"/>
      <c r="F52" s="63">
        <f>F51+F49+F43+F39+F33+F29+F21+F14</f>
        <v>0</v>
      </c>
    </row>
  </sheetData>
  <protectedRanges>
    <protectedRange sqref="B1:B2" name="Range2_1"/>
    <protectedRange sqref="E16:E17" name="Range1_1_1_2"/>
    <protectedRange sqref="E15" name="Range1_2_2"/>
    <protectedRange sqref="E21:E23" name="Range1_2_2_1"/>
    <protectedRange sqref="E29" name="Range1_2_2_2"/>
    <protectedRange sqref="E30" name="Range1_2_2_3"/>
  </protectedRanges>
  <mergeCells count="1">
    <mergeCell ref="A1:F1"/>
  </mergeCells>
  <pageMargins left="0.7" right="0.7" top="0.75" bottom="0.75" header="0.3" footer="0.3"/>
  <pageSetup paperSize="9" scale="7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opLeftCell="A32" workbookViewId="0">
      <selection activeCell="G48" sqref="G48"/>
    </sheetView>
  </sheetViews>
  <sheetFormatPr defaultColWidth="9.19921875" defaultRowHeight="13.8"/>
  <cols>
    <col min="1" max="1" width="6.69921875" style="188" bestFit="1" customWidth="1"/>
    <col min="2" max="2" width="62.19921875" style="108" customWidth="1"/>
    <col min="3" max="3" width="9.19921875" style="108"/>
    <col min="4" max="4" width="12.69921875" style="108" bestFit="1" customWidth="1"/>
    <col min="5" max="5" width="13.3984375" style="120" bestFit="1" customWidth="1"/>
    <col min="6" max="6" width="17.19921875" style="120" bestFit="1" customWidth="1"/>
    <col min="7" max="16384" width="9.19921875" style="108"/>
  </cols>
  <sheetData>
    <row r="1" spans="1:6" ht="38.700000000000003" customHeight="1">
      <c r="A1" s="201" t="s">
        <v>130</v>
      </c>
      <c r="B1" s="201"/>
      <c r="C1" s="201"/>
      <c r="D1" s="201"/>
      <c r="E1" s="201"/>
      <c r="F1" s="201"/>
    </row>
    <row r="2" spans="1:6" s="76" customFormat="1" ht="40.799999999999997">
      <c r="A2" s="91" t="s">
        <v>0</v>
      </c>
      <c r="B2" s="91" t="s">
        <v>98</v>
      </c>
      <c r="C2" s="91" t="s">
        <v>99</v>
      </c>
      <c r="D2" s="91" t="s">
        <v>100</v>
      </c>
      <c r="E2" s="92" t="s">
        <v>101</v>
      </c>
      <c r="F2" s="92" t="s">
        <v>102</v>
      </c>
    </row>
    <row r="3" spans="1:6" ht="15.6">
      <c r="A3" s="122">
        <v>1</v>
      </c>
      <c r="B3" s="123" t="s">
        <v>82</v>
      </c>
      <c r="C3" s="124"/>
      <c r="D3" s="125"/>
      <c r="E3" s="126"/>
      <c r="F3" s="127"/>
    </row>
    <row r="4" spans="1:6" ht="15.6">
      <c r="A4" s="121">
        <v>1.1000000000000001</v>
      </c>
      <c r="B4" s="109" t="s">
        <v>83</v>
      </c>
      <c r="C4" s="110" t="s">
        <v>93</v>
      </c>
      <c r="D4" s="111">
        <f>2*2</f>
        <v>4</v>
      </c>
      <c r="E4" s="95"/>
      <c r="F4" s="118">
        <f>E4*D4</f>
        <v>0</v>
      </c>
    </row>
    <row r="5" spans="1:6" ht="15.6">
      <c r="A5" s="128"/>
      <c r="B5" s="129" t="s">
        <v>85</v>
      </c>
      <c r="C5" s="130"/>
      <c r="D5" s="131"/>
      <c r="E5" s="132"/>
      <c r="F5" s="133">
        <f>F4</f>
        <v>0</v>
      </c>
    </row>
    <row r="6" spans="1:6" ht="15.6">
      <c r="A6" s="122">
        <v>2</v>
      </c>
      <c r="B6" s="123" t="s">
        <v>86</v>
      </c>
      <c r="C6" s="124"/>
      <c r="D6" s="125"/>
      <c r="E6" s="126"/>
      <c r="F6" s="127"/>
    </row>
    <row r="7" spans="1:6" ht="15.6">
      <c r="A7" s="121">
        <v>2.1</v>
      </c>
      <c r="B7" s="112" t="s">
        <v>87</v>
      </c>
      <c r="C7" s="113" t="s">
        <v>106</v>
      </c>
      <c r="D7" s="114">
        <v>20</v>
      </c>
      <c r="E7" s="119"/>
      <c r="F7" s="118">
        <f t="shared" ref="F7:F15" si="0">E7*D7</f>
        <v>0</v>
      </c>
    </row>
    <row r="8" spans="1:6" ht="31.2">
      <c r="A8" s="121">
        <v>2.2000000000000002</v>
      </c>
      <c r="B8" s="115" t="s">
        <v>88</v>
      </c>
      <c r="C8" s="113" t="s">
        <v>89</v>
      </c>
      <c r="D8" s="114">
        <v>4</v>
      </c>
      <c r="E8" s="119"/>
      <c r="F8" s="118">
        <f t="shared" si="0"/>
        <v>0</v>
      </c>
    </row>
    <row r="9" spans="1:6" ht="31.2">
      <c r="A9" s="121">
        <v>2.2999999999999998</v>
      </c>
      <c r="B9" s="112" t="s">
        <v>90</v>
      </c>
      <c r="C9" s="113" t="s">
        <v>89</v>
      </c>
      <c r="D9" s="114">
        <v>5</v>
      </c>
      <c r="E9" s="119"/>
      <c r="F9" s="118">
        <f t="shared" si="0"/>
        <v>0</v>
      </c>
    </row>
    <row r="10" spans="1:6" ht="15.6">
      <c r="A10" s="121">
        <v>2.4</v>
      </c>
      <c r="B10" s="116" t="s">
        <v>91</v>
      </c>
      <c r="C10" s="113" t="s">
        <v>89</v>
      </c>
      <c r="D10" s="114">
        <v>2</v>
      </c>
      <c r="E10" s="119"/>
      <c r="F10" s="118">
        <f t="shared" si="0"/>
        <v>0</v>
      </c>
    </row>
    <row r="11" spans="1:6" ht="15.6">
      <c r="A11" s="121">
        <v>2.5</v>
      </c>
      <c r="B11" s="116" t="s">
        <v>92</v>
      </c>
      <c r="C11" s="113" t="s">
        <v>93</v>
      </c>
      <c r="D11" s="114">
        <v>3</v>
      </c>
      <c r="E11" s="119"/>
      <c r="F11" s="118">
        <f t="shared" si="0"/>
        <v>0</v>
      </c>
    </row>
    <row r="12" spans="1:6" ht="15.6">
      <c r="A12" s="121">
        <v>2.6</v>
      </c>
      <c r="B12" s="116" t="s">
        <v>107</v>
      </c>
      <c r="C12" s="113" t="s">
        <v>84</v>
      </c>
      <c r="D12" s="114">
        <v>1</v>
      </c>
      <c r="E12" s="119"/>
      <c r="F12" s="118">
        <f t="shared" si="0"/>
        <v>0</v>
      </c>
    </row>
    <row r="13" spans="1:6" ht="15.6">
      <c r="A13" s="128"/>
      <c r="B13" s="129" t="s">
        <v>94</v>
      </c>
      <c r="C13" s="130"/>
      <c r="D13" s="131"/>
      <c r="E13" s="132"/>
      <c r="F13" s="133">
        <f>SUM(F7:F12)</f>
        <v>0</v>
      </c>
    </row>
    <row r="14" spans="1:6" ht="15.6">
      <c r="A14" s="122">
        <v>3</v>
      </c>
      <c r="B14" s="123" t="s">
        <v>95</v>
      </c>
      <c r="C14" s="124"/>
      <c r="D14" s="125"/>
      <c r="E14" s="126"/>
      <c r="F14" s="127"/>
    </row>
    <row r="15" spans="1:6" ht="46.8">
      <c r="A15" s="117">
        <v>3.1</v>
      </c>
      <c r="B15" s="116" t="s">
        <v>96</v>
      </c>
      <c r="C15" s="113" t="s">
        <v>149</v>
      </c>
      <c r="D15" s="114">
        <v>10</v>
      </c>
      <c r="E15" s="119"/>
      <c r="F15" s="118"/>
    </row>
    <row r="16" spans="1:6" ht="15.6">
      <c r="A16" s="128"/>
      <c r="B16" s="129" t="s">
        <v>97</v>
      </c>
      <c r="C16" s="130"/>
      <c r="D16" s="131"/>
      <c r="E16" s="132"/>
      <c r="F16" s="133"/>
    </row>
    <row r="17" spans="1:6" s="137" customFormat="1" ht="34.5" customHeight="1">
      <c r="A17" s="135"/>
      <c r="B17" s="135" t="s">
        <v>150</v>
      </c>
      <c r="C17" s="135"/>
      <c r="D17" s="135"/>
      <c r="E17" s="136"/>
      <c r="F17" s="134">
        <f>F16+F13+F5</f>
        <v>0</v>
      </c>
    </row>
    <row r="18" spans="1:6" s="3" customFormat="1" ht="20.7" customHeight="1">
      <c r="A18" s="65" t="s">
        <v>1</v>
      </c>
      <c r="B18" s="66" t="s">
        <v>46</v>
      </c>
      <c r="C18" s="65"/>
      <c r="D18" s="67"/>
      <c r="E18" s="93"/>
      <c r="F18" s="68"/>
    </row>
    <row r="19" spans="1:6" s="86" customFormat="1" ht="46.8">
      <c r="A19" s="82">
        <v>1</v>
      </c>
      <c r="B19" s="83" t="s">
        <v>47</v>
      </c>
      <c r="C19" s="82"/>
      <c r="D19" s="84"/>
      <c r="E19" s="94"/>
      <c r="F19" s="85"/>
    </row>
    <row r="20" spans="1:6" s="40" customFormat="1" ht="15.6">
      <c r="A20" s="161"/>
      <c r="B20" s="162"/>
      <c r="C20" s="163"/>
      <c r="D20" s="164"/>
      <c r="E20" s="104"/>
      <c r="F20" s="165"/>
    </row>
    <row r="21" spans="1:6" s="40" customFormat="1" ht="31.2">
      <c r="A21" s="166">
        <f>A19+0.1</f>
        <v>1.1000000000000001</v>
      </c>
      <c r="B21" s="167" t="s">
        <v>48</v>
      </c>
      <c r="C21" s="168" t="s">
        <v>49</v>
      </c>
      <c r="D21" s="169">
        <v>1</v>
      </c>
      <c r="E21" s="104"/>
      <c r="F21" s="170">
        <f>E21*D21</f>
        <v>0</v>
      </c>
    </row>
    <row r="22" spans="1:6" s="40" customFormat="1" ht="16.2" customHeight="1">
      <c r="A22" s="166">
        <f>A21+0.1</f>
        <v>1.2000000000000002</v>
      </c>
      <c r="B22" s="167" t="s">
        <v>50</v>
      </c>
      <c r="C22" s="168" t="s">
        <v>80</v>
      </c>
      <c r="D22" s="169">
        <v>8</v>
      </c>
      <c r="E22" s="104"/>
      <c r="F22" s="170">
        <f t="shared" ref="F22:F37" si="1">E22*D22</f>
        <v>0</v>
      </c>
    </row>
    <row r="23" spans="1:6" s="40" customFormat="1" ht="15.6">
      <c r="A23" s="166">
        <f>A22+0.1</f>
        <v>1.3000000000000003</v>
      </c>
      <c r="B23" s="167" t="s">
        <v>52</v>
      </c>
      <c r="C23" s="168" t="s">
        <v>53</v>
      </c>
      <c r="D23" s="169">
        <v>1</v>
      </c>
      <c r="E23" s="104"/>
      <c r="F23" s="170">
        <f t="shared" si="1"/>
        <v>0</v>
      </c>
    </row>
    <row r="24" spans="1:6" s="40" customFormat="1" ht="19.5" customHeight="1">
      <c r="A24" s="166">
        <f>A23+0.1</f>
        <v>1.4000000000000004</v>
      </c>
      <c r="B24" s="167" t="s">
        <v>54</v>
      </c>
      <c r="C24" s="168" t="s">
        <v>51</v>
      </c>
      <c r="D24" s="169">
        <v>1</v>
      </c>
      <c r="E24" s="104"/>
      <c r="F24" s="170">
        <f t="shared" si="1"/>
        <v>0</v>
      </c>
    </row>
    <row r="25" spans="1:6" s="40" customFormat="1" ht="20.7" customHeight="1">
      <c r="A25" s="166">
        <f t="shared" ref="A25:A27" si="2">A24+0.1</f>
        <v>1.5000000000000004</v>
      </c>
      <c r="B25" s="167" t="s">
        <v>55</v>
      </c>
      <c r="C25" s="168" t="s">
        <v>51</v>
      </c>
      <c r="D25" s="169">
        <v>1</v>
      </c>
      <c r="E25" s="104"/>
      <c r="F25" s="170">
        <f t="shared" si="1"/>
        <v>0</v>
      </c>
    </row>
    <row r="26" spans="1:6" s="40" customFormat="1" ht="19.5" customHeight="1">
      <c r="A26" s="166">
        <f t="shared" si="2"/>
        <v>1.6000000000000005</v>
      </c>
      <c r="B26" s="167" t="s">
        <v>56</v>
      </c>
      <c r="C26" s="168" t="s">
        <v>53</v>
      </c>
      <c r="D26" s="169">
        <v>1</v>
      </c>
      <c r="E26" s="104"/>
      <c r="F26" s="170">
        <f t="shared" si="1"/>
        <v>0</v>
      </c>
    </row>
    <row r="27" spans="1:6" s="40" customFormat="1" ht="17.7" customHeight="1">
      <c r="A27" s="166">
        <f t="shared" si="2"/>
        <v>1.7000000000000006</v>
      </c>
      <c r="B27" s="167" t="s">
        <v>57</v>
      </c>
      <c r="C27" s="168" t="s">
        <v>51</v>
      </c>
      <c r="D27" s="169">
        <v>1</v>
      </c>
      <c r="E27" s="104"/>
      <c r="F27" s="170">
        <f t="shared" si="1"/>
        <v>0</v>
      </c>
    </row>
    <row r="28" spans="1:6" s="40" customFormat="1" ht="20.100000000000001" customHeight="1">
      <c r="A28" s="166">
        <f t="shared" ref="A28:A29" si="3">A27+0.1</f>
        <v>1.8000000000000007</v>
      </c>
      <c r="B28" s="167" t="s">
        <v>58</v>
      </c>
      <c r="C28" s="168" t="s">
        <v>53</v>
      </c>
      <c r="D28" s="169">
        <v>1</v>
      </c>
      <c r="E28" s="104"/>
      <c r="F28" s="170">
        <f t="shared" si="1"/>
        <v>0</v>
      </c>
    </row>
    <row r="29" spans="1:6" s="40" customFormat="1" ht="18.600000000000001">
      <c r="A29" s="166">
        <f t="shared" si="3"/>
        <v>1.9000000000000008</v>
      </c>
      <c r="B29" s="167" t="s">
        <v>65</v>
      </c>
      <c r="C29" s="168" t="s">
        <v>6</v>
      </c>
      <c r="D29" s="169">
        <v>10</v>
      </c>
      <c r="E29" s="104"/>
      <c r="F29" s="170">
        <f t="shared" si="1"/>
        <v>0</v>
      </c>
    </row>
    <row r="30" spans="1:6" s="40" customFormat="1" ht="18.600000000000001">
      <c r="A30" s="166">
        <f t="shared" ref="A30" si="4">A28+0.1</f>
        <v>1.9000000000000008</v>
      </c>
      <c r="B30" s="167" t="s">
        <v>66</v>
      </c>
      <c r="C30" s="168" t="s">
        <v>6</v>
      </c>
      <c r="D30" s="169">
        <v>10</v>
      </c>
      <c r="E30" s="104"/>
      <c r="F30" s="170">
        <f t="shared" si="1"/>
        <v>0</v>
      </c>
    </row>
    <row r="31" spans="1:6" s="40" customFormat="1" ht="21" customHeight="1">
      <c r="A31" s="171">
        <v>1.1000000000000001</v>
      </c>
      <c r="B31" s="167" t="s">
        <v>67</v>
      </c>
      <c r="C31" s="168" t="s">
        <v>6</v>
      </c>
      <c r="D31" s="169">
        <v>5</v>
      </c>
      <c r="E31" s="104"/>
      <c r="F31" s="170">
        <f t="shared" si="1"/>
        <v>0</v>
      </c>
    </row>
    <row r="32" spans="1:6" s="40" customFormat="1" ht="18.600000000000001">
      <c r="A32" s="171">
        <v>1.1100000000000001</v>
      </c>
      <c r="B32" s="167" t="s">
        <v>68</v>
      </c>
      <c r="C32" s="168" t="s">
        <v>6</v>
      </c>
      <c r="D32" s="169">
        <v>10</v>
      </c>
      <c r="E32" s="104"/>
      <c r="F32" s="170">
        <f t="shared" si="1"/>
        <v>0</v>
      </c>
    </row>
    <row r="33" spans="1:6" s="40" customFormat="1" ht="20.7" customHeight="1">
      <c r="A33" s="171">
        <v>1.1200000000000001</v>
      </c>
      <c r="B33" s="167" t="s">
        <v>59</v>
      </c>
      <c r="C33" s="168" t="s">
        <v>4</v>
      </c>
      <c r="D33" s="169">
        <v>1</v>
      </c>
      <c r="E33" s="104"/>
      <c r="F33" s="170">
        <f t="shared" si="1"/>
        <v>0</v>
      </c>
    </row>
    <row r="34" spans="1:6" s="40" customFormat="1" ht="21" customHeight="1">
      <c r="A34" s="171">
        <v>1.1399999999999999</v>
      </c>
      <c r="B34" s="167" t="s">
        <v>60</v>
      </c>
      <c r="C34" s="168" t="s">
        <v>53</v>
      </c>
      <c r="D34" s="169">
        <v>1</v>
      </c>
      <c r="E34" s="104"/>
      <c r="F34" s="170">
        <f t="shared" si="1"/>
        <v>0</v>
      </c>
    </row>
    <row r="35" spans="1:6" s="40" customFormat="1" ht="18.600000000000001" customHeight="1">
      <c r="A35" s="171">
        <v>1.1499999999999999</v>
      </c>
      <c r="B35" s="167" t="s">
        <v>69</v>
      </c>
      <c r="C35" s="168" t="s">
        <v>6</v>
      </c>
      <c r="D35" s="169">
        <v>10</v>
      </c>
      <c r="E35" s="104"/>
      <c r="F35" s="170">
        <f t="shared" si="1"/>
        <v>0</v>
      </c>
    </row>
    <row r="36" spans="1:6" s="40" customFormat="1" ht="15.6">
      <c r="A36" s="171">
        <v>1.1599999999999999</v>
      </c>
      <c r="B36" s="167" t="s">
        <v>61</v>
      </c>
      <c r="C36" s="168" t="s">
        <v>6</v>
      </c>
      <c r="D36" s="169">
        <v>30</v>
      </c>
      <c r="E36" s="104"/>
      <c r="F36" s="170">
        <f t="shared" si="1"/>
        <v>0</v>
      </c>
    </row>
    <row r="37" spans="1:6" s="40" customFormat="1" ht="31.2">
      <c r="A37" s="171">
        <v>1.17</v>
      </c>
      <c r="B37" s="167" t="s">
        <v>62</v>
      </c>
      <c r="C37" s="168" t="s">
        <v>4</v>
      </c>
      <c r="D37" s="169">
        <v>1</v>
      </c>
      <c r="E37" s="104"/>
      <c r="F37" s="170">
        <f t="shared" si="1"/>
        <v>0</v>
      </c>
    </row>
    <row r="38" spans="1:6" s="77" customFormat="1" ht="27" customHeight="1">
      <c r="A38" s="172"/>
      <c r="B38" s="173" t="s">
        <v>105</v>
      </c>
      <c r="C38" s="173"/>
      <c r="D38" s="174"/>
      <c r="E38" s="175"/>
      <c r="F38" s="176">
        <f>SUM(F21:F37)</f>
        <v>0</v>
      </c>
    </row>
    <row r="39" spans="1:6" s="3" customFormat="1" ht="20.7" customHeight="1">
      <c r="A39" s="65" t="s">
        <v>1</v>
      </c>
      <c r="B39" s="66" t="s">
        <v>135</v>
      </c>
      <c r="C39" s="65"/>
      <c r="D39" s="67"/>
      <c r="E39" s="93"/>
      <c r="F39" s="68"/>
    </row>
    <row r="40" spans="1:6" ht="15.6">
      <c r="A40" s="122">
        <v>1</v>
      </c>
      <c r="B40" s="123" t="s">
        <v>136</v>
      </c>
      <c r="C40" s="124"/>
      <c r="D40" s="125"/>
      <c r="E40" s="126"/>
      <c r="F40" s="127"/>
    </row>
    <row r="41" spans="1:6" ht="15.6">
      <c r="A41" s="166">
        <v>1.1000000000000001</v>
      </c>
      <c r="B41" s="167" t="s">
        <v>110</v>
      </c>
      <c r="C41" s="168" t="s">
        <v>93</v>
      </c>
      <c r="D41" s="169">
        <f>60*1</f>
        <v>60</v>
      </c>
      <c r="E41" s="104"/>
      <c r="F41" s="170">
        <f>E41*D41</f>
        <v>0</v>
      </c>
    </row>
    <row r="42" spans="1:6" ht="18" customHeight="1">
      <c r="A42" s="128"/>
      <c r="B42" s="129" t="s">
        <v>137</v>
      </c>
      <c r="C42" s="130"/>
      <c r="D42" s="131"/>
      <c r="E42" s="132"/>
      <c r="F42" s="189">
        <f>SUM(F41)</f>
        <v>0</v>
      </c>
    </row>
    <row r="43" spans="1:6" ht="15.6">
      <c r="A43" s="122">
        <v>2</v>
      </c>
      <c r="B43" s="123" t="s">
        <v>138</v>
      </c>
      <c r="C43" s="124"/>
      <c r="D43" s="125"/>
      <c r="E43" s="126"/>
      <c r="F43" s="127"/>
    </row>
    <row r="44" spans="1:6" ht="15.6">
      <c r="A44" s="166"/>
      <c r="B44" s="167" t="s">
        <v>145</v>
      </c>
      <c r="C44" s="168" t="s">
        <v>106</v>
      </c>
      <c r="D44" s="169">
        <v>75</v>
      </c>
      <c r="E44" s="104"/>
      <c r="F44" s="170">
        <f t="shared" ref="F44:F49" si="5">E44*D44</f>
        <v>0</v>
      </c>
    </row>
    <row r="45" spans="1:6" ht="15.6">
      <c r="A45" s="166"/>
      <c r="B45" s="167" t="s">
        <v>139</v>
      </c>
      <c r="C45" s="168" t="s">
        <v>93</v>
      </c>
      <c r="D45" s="169">
        <v>60</v>
      </c>
      <c r="E45" s="104"/>
      <c r="F45" s="170">
        <f t="shared" si="5"/>
        <v>0</v>
      </c>
    </row>
    <row r="46" spans="1:6" ht="15.6">
      <c r="A46" s="166"/>
      <c r="B46" s="167" t="s">
        <v>140</v>
      </c>
      <c r="C46" s="168" t="s">
        <v>93</v>
      </c>
      <c r="D46" s="169">
        <f>0.3*0.3*0.5*30</f>
        <v>1.3499999999999999</v>
      </c>
      <c r="E46" s="104"/>
      <c r="F46" s="170">
        <f t="shared" si="5"/>
        <v>0</v>
      </c>
    </row>
    <row r="47" spans="1:6" ht="18" customHeight="1">
      <c r="A47" s="128"/>
      <c r="B47" s="129" t="s">
        <v>142</v>
      </c>
      <c r="C47" s="130"/>
      <c r="D47" s="131"/>
      <c r="E47" s="132"/>
      <c r="F47" s="189">
        <f>SUM(F44:F46)</f>
        <v>0</v>
      </c>
    </row>
    <row r="48" spans="1:6" ht="15.6">
      <c r="A48" s="122">
        <v>3</v>
      </c>
      <c r="B48" s="123" t="s">
        <v>121</v>
      </c>
      <c r="C48" s="124"/>
      <c r="D48" s="125"/>
      <c r="E48" s="126"/>
      <c r="F48" s="127"/>
    </row>
    <row r="49" spans="1:6" ht="15.6">
      <c r="A49" s="166"/>
      <c r="B49" s="167" t="s">
        <v>141</v>
      </c>
      <c r="C49" s="168" t="s">
        <v>4</v>
      </c>
      <c r="D49" s="169">
        <v>1</v>
      </c>
      <c r="E49" s="104"/>
      <c r="F49" s="170">
        <f t="shared" si="5"/>
        <v>0</v>
      </c>
    </row>
    <row r="50" spans="1:6" ht="18" customHeight="1">
      <c r="A50" s="128"/>
      <c r="B50" s="129" t="s">
        <v>143</v>
      </c>
      <c r="C50" s="130"/>
      <c r="D50" s="131"/>
      <c r="E50" s="132"/>
      <c r="F50" s="189">
        <f>SUM(F49)</f>
        <v>0</v>
      </c>
    </row>
    <row r="51" spans="1:6" s="77" customFormat="1" ht="27" customHeight="1">
      <c r="A51" s="172"/>
      <c r="B51" s="173" t="s">
        <v>144</v>
      </c>
      <c r="C51" s="173"/>
      <c r="D51" s="174"/>
      <c r="E51" s="175"/>
      <c r="F51" s="176">
        <f>F50+F47+F42</f>
        <v>0</v>
      </c>
    </row>
    <row r="52" spans="1:6" ht="54" customHeight="1">
      <c r="A52" s="177"/>
      <c r="B52" s="177" t="s">
        <v>146</v>
      </c>
      <c r="C52" s="178"/>
      <c r="D52" s="178"/>
      <c r="E52" s="178"/>
      <c r="F52" s="179">
        <f>F51+F38+F17</f>
        <v>0</v>
      </c>
    </row>
    <row r="53" spans="1:6" ht="15.6">
      <c r="A53" s="171"/>
      <c r="B53" s="167"/>
      <c r="C53" s="168"/>
      <c r="D53" s="169"/>
      <c r="E53" s="104"/>
      <c r="F53" s="170"/>
    </row>
    <row r="54" spans="1:6" ht="15.6">
      <c r="A54" s="171"/>
      <c r="B54" s="167"/>
      <c r="C54" s="168"/>
      <c r="D54" s="169"/>
      <c r="E54" s="104"/>
      <c r="F54" s="170"/>
    </row>
    <row r="55" spans="1:6" ht="15.6">
      <c r="A55" s="171"/>
      <c r="B55" s="167"/>
      <c r="C55" s="168"/>
      <c r="D55" s="169"/>
      <c r="E55" s="104"/>
      <c r="F55" s="170"/>
    </row>
    <row r="56" spans="1:6" ht="15.6">
      <c r="A56" s="171"/>
      <c r="B56" s="167"/>
      <c r="C56" s="168"/>
      <c r="D56" s="169"/>
      <c r="E56" s="104"/>
      <c r="F56" s="170"/>
    </row>
    <row r="57" spans="1:6" ht="15.6">
      <c r="A57" s="171"/>
      <c r="B57" s="167"/>
      <c r="C57" s="168"/>
      <c r="D57" s="169"/>
      <c r="E57" s="104"/>
      <c r="F57" s="170"/>
    </row>
  </sheetData>
  <protectedRanges>
    <protectedRange sqref="B2" name="Range2_1_1"/>
  </protectedRanges>
  <mergeCells count="1">
    <mergeCell ref="A1:F1"/>
  </mergeCells>
  <pageMargins left="0.7" right="0.7" top="0.75" bottom="0.75" header="0.3" footer="0.3"/>
  <pageSetup scale="68"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zoomScale="70" zoomScaleNormal="70" workbookViewId="0">
      <selection activeCell="L9" sqref="L9"/>
    </sheetView>
  </sheetViews>
  <sheetFormatPr defaultColWidth="8.59765625" defaultRowHeight="15.6"/>
  <cols>
    <col min="1" max="1" width="5.5" style="138" customWidth="1"/>
    <col min="2" max="2" width="43.09765625" style="142" customWidth="1"/>
    <col min="3" max="3" width="8.59765625" style="140"/>
    <col min="4" max="4" width="9.8984375" style="140" bestFit="1" customWidth="1"/>
    <col min="5" max="5" width="11.19921875" style="143" bestFit="1" customWidth="1"/>
    <col min="6" max="6" width="12.59765625" style="143" bestFit="1" customWidth="1"/>
    <col min="7" max="16384" width="8.59765625" style="139"/>
  </cols>
  <sheetData>
    <row r="1" spans="1:6" ht="41.1" customHeight="1">
      <c r="A1" s="202" t="s">
        <v>155</v>
      </c>
      <c r="B1" s="202"/>
      <c r="C1" s="202"/>
      <c r="D1" s="202"/>
      <c r="E1" s="202"/>
      <c r="F1" s="202"/>
    </row>
    <row r="2" spans="1:6" s="138" customFormat="1" ht="26.7" customHeight="1">
      <c r="A2" s="153" t="s">
        <v>0</v>
      </c>
      <c r="B2" s="154" t="s">
        <v>98</v>
      </c>
      <c r="C2" s="153" t="s">
        <v>99</v>
      </c>
      <c r="D2" s="153" t="s">
        <v>100</v>
      </c>
      <c r="E2" s="155" t="s">
        <v>108</v>
      </c>
      <c r="F2" s="155" t="s">
        <v>102</v>
      </c>
    </row>
    <row r="3" spans="1:6">
      <c r="A3" s="150" t="s">
        <v>109</v>
      </c>
      <c r="B3" s="151" t="s">
        <v>82</v>
      </c>
      <c r="C3" s="150"/>
      <c r="D3" s="150"/>
      <c r="E3" s="152"/>
      <c r="F3" s="152"/>
    </row>
    <row r="4" spans="1:6">
      <c r="A4" s="146">
        <v>1</v>
      </c>
      <c r="B4" s="148" t="s">
        <v>110</v>
      </c>
      <c r="C4" s="147" t="s">
        <v>111</v>
      </c>
      <c r="D4" s="147">
        <f>2*2</f>
        <v>4</v>
      </c>
      <c r="E4" s="149"/>
      <c r="F4" s="149">
        <f>E4*D4</f>
        <v>0</v>
      </c>
    </row>
    <row r="5" spans="1:6">
      <c r="A5" s="150" t="s">
        <v>112</v>
      </c>
      <c r="B5" s="151" t="s">
        <v>113</v>
      </c>
      <c r="C5" s="150"/>
      <c r="D5" s="150"/>
      <c r="E5" s="152"/>
      <c r="F5" s="152"/>
    </row>
    <row r="6" spans="1:6" ht="31.2">
      <c r="A6" s="146">
        <v>1</v>
      </c>
      <c r="B6" s="148" t="s">
        <v>116</v>
      </c>
      <c r="C6" s="147" t="s">
        <v>114</v>
      </c>
      <c r="D6" s="147">
        <f>2*2*0.3</f>
        <v>1.2</v>
      </c>
      <c r="E6" s="149"/>
      <c r="F6" s="149">
        <f t="shared" ref="F6:F10" si="0">E6*D6</f>
        <v>0</v>
      </c>
    </row>
    <row r="7" spans="1:6" ht="31.2">
      <c r="A7" s="146">
        <v>2</v>
      </c>
      <c r="B7" s="148" t="s">
        <v>115</v>
      </c>
      <c r="C7" s="147" t="s">
        <v>114</v>
      </c>
      <c r="D7" s="147">
        <f>2*2*0.5</f>
        <v>2</v>
      </c>
      <c r="E7" s="149"/>
      <c r="F7" s="149">
        <f t="shared" si="0"/>
        <v>0</v>
      </c>
    </row>
    <row r="8" spans="1:6" ht="62.4">
      <c r="A8" s="146">
        <v>3</v>
      </c>
      <c r="B8" s="148" t="s">
        <v>119</v>
      </c>
      <c r="C8" s="147" t="s">
        <v>114</v>
      </c>
      <c r="D8" s="147">
        <f>2*1*0.3</f>
        <v>0.6</v>
      </c>
      <c r="E8" s="149"/>
      <c r="F8" s="149">
        <f t="shared" si="0"/>
        <v>0</v>
      </c>
    </row>
    <row r="9" spans="1:6">
      <c r="A9" s="150" t="s">
        <v>118</v>
      </c>
      <c r="B9" s="151" t="s">
        <v>117</v>
      </c>
      <c r="C9" s="150"/>
      <c r="D9" s="150"/>
      <c r="E9" s="152"/>
      <c r="F9" s="152"/>
    </row>
    <row r="10" spans="1:6" ht="62.4">
      <c r="A10" s="146">
        <v>1</v>
      </c>
      <c r="B10" s="148" t="s">
        <v>120</v>
      </c>
      <c r="C10" s="147" t="s">
        <v>114</v>
      </c>
      <c r="D10" s="147">
        <f>2*0.2*1</f>
        <v>0.4</v>
      </c>
      <c r="E10" s="149"/>
      <c r="F10" s="149">
        <f t="shared" si="0"/>
        <v>0</v>
      </c>
    </row>
    <row r="11" spans="1:6">
      <c r="A11" s="150" t="s">
        <v>122</v>
      </c>
      <c r="B11" s="151" t="s">
        <v>124</v>
      </c>
      <c r="C11" s="150"/>
      <c r="D11" s="150"/>
      <c r="E11" s="152"/>
      <c r="F11" s="152"/>
    </row>
    <row r="12" spans="1:6" s="157" customFormat="1" ht="31.2">
      <c r="A12" s="156">
        <v>1</v>
      </c>
      <c r="B12" s="158" t="s">
        <v>125</v>
      </c>
      <c r="C12" s="159" t="s">
        <v>127</v>
      </c>
      <c r="D12" s="159">
        <v>1</v>
      </c>
      <c r="E12" s="160"/>
      <c r="F12" s="160">
        <f>E12*D12</f>
        <v>0</v>
      </c>
    </row>
    <row r="13" spans="1:6">
      <c r="A13" s="150" t="s">
        <v>126</v>
      </c>
      <c r="B13" s="151" t="s">
        <v>121</v>
      </c>
      <c r="C13" s="150"/>
      <c r="D13" s="150"/>
      <c r="E13" s="152"/>
      <c r="F13" s="152"/>
    </row>
    <row r="14" spans="1:6" ht="31.2">
      <c r="A14" s="146">
        <v>1</v>
      </c>
      <c r="B14" s="148" t="s">
        <v>123</v>
      </c>
      <c r="C14" s="147" t="s">
        <v>111</v>
      </c>
      <c r="D14" s="147">
        <f>(1*2)+(6*0.3)+(4.4*2)+(0.2*2)</f>
        <v>13.000000000000002</v>
      </c>
      <c r="E14" s="149"/>
      <c r="F14" s="149">
        <f>E14*D14</f>
        <v>0</v>
      </c>
    </row>
    <row r="15" spans="1:6" s="138" customFormat="1" ht="39.6" customHeight="1">
      <c r="A15" s="153"/>
      <c r="B15" s="154" t="s">
        <v>128</v>
      </c>
      <c r="C15" s="153"/>
      <c r="D15" s="153"/>
      <c r="E15" s="155"/>
      <c r="F15" s="155">
        <f>SUM(F4:F14)</f>
        <v>0</v>
      </c>
    </row>
  </sheetData>
  <mergeCells count="1">
    <mergeCell ref="A1:F1"/>
  </mergeCells>
  <pageMargins left="0.7" right="0.7" top="0.75" bottom="0.75" header="0.3" footer="0.3"/>
  <pageSetup scale="93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B1" workbookViewId="0">
      <selection activeCell="B14" sqref="B14"/>
    </sheetView>
  </sheetViews>
  <sheetFormatPr defaultColWidth="8.59765625" defaultRowHeight="18"/>
  <cols>
    <col min="1" max="1" width="5.8984375" style="141" bestFit="1" customWidth="1"/>
    <col min="2" max="2" width="53.19921875" style="181" customWidth="1"/>
    <col min="3" max="3" width="21.69921875" style="182" customWidth="1"/>
    <col min="4" max="16384" width="8.59765625" style="180"/>
  </cols>
  <sheetData>
    <row r="1" spans="1:3" ht="35.700000000000003" customHeight="1">
      <c r="A1" s="203" t="s">
        <v>131</v>
      </c>
      <c r="B1" s="203"/>
      <c r="C1" s="203"/>
    </row>
    <row r="2" spans="1:3" s="183" customFormat="1" ht="28.5" customHeight="1">
      <c r="A2" s="185" t="s">
        <v>132</v>
      </c>
      <c r="B2" s="186" t="s">
        <v>98</v>
      </c>
      <c r="C2" s="187" t="s">
        <v>102</v>
      </c>
    </row>
    <row r="3" spans="1:3" s="193" customFormat="1" ht="45" customHeight="1">
      <c r="A3" s="190">
        <v>1</v>
      </c>
      <c r="B3" s="191" t="s">
        <v>133</v>
      </c>
      <c r="C3" s="192"/>
    </row>
    <row r="4" spans="1:3" ht="42" customHeight="1">
      <c r="A4" s="144">
        <v>2</v>
      </c>
      <c r="B4" s="194" t="s">
        <v>147</v>
      </c>
      <c r="C4" s="145">
        <f>'BoQ for Shallow well and Solar '!F52</f>
        <v>0</v>
      </c>
    </row>
    <row r="5" spans="1:3" ht="37.200000000000003" customHeight="1">
      <c r="A5" s="144">
        <v>3</v>
      </c>
      <c r="B5" s="194" t="s">
        <v>148</v>
      </c>
      <c r="C5" s="145">
        <f>'BoQ for 1 Water Point'!F15</f>
        <v>0</v>
      </c>
    </row>
    <row r="6" spans="1:3" s="184" customFormat="1" ht="24.6">
      <c r="A6" s="185"/>
      <c r="B6" s="186" t="s">
        <v>134</v>
      </c>
      <c r="C6" s="187">
        <f>SUM(C3:C5)</f>
        <v>0</v>
      </c>
    </row>
  </sheetData>
  <mergeCells count="1">
    <mergeCell ref="A1:C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BoQ for Water Tank and Pipeline</vt:lpstr>
      <vt:lpstr>BoQ for Shallow well and Solar </vt:lpstr>
      <vt:lpstr>BoQ for 1 Water Point</vt:lpstr>
      <vt:lpstr>Main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Farhan Ismail</dc:creator>
  <cp:lastModifiedBy>Pc</cp:lastModifiedBy>
  <cp:lastPrinted>2024-12-09T11:51:16Z</cp:lastPrinted>
  <dcterms:created xsi:type="dcterms:W3CDTF">2024-09-18T16:07:17Z</dcterms:created>
  <dcterms:modified xsi:type="dcterms:W3CDTF">2025-02-02T18:56:30Z</dcterms:modified>
</cp:coreProperties>
</file>